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sabel\Desktop\AAPG resubmission\"/>
    </mc:Choice>
  </mc:AlternateContent>
  <xr:revisionPtr revIDLastSave="0" documentId="8_{1A131B7A-C5A4-4292-B29F-FBA1AA7E4941}" xr6:coauthVersionLast="44" xr6:coauthVersionMax="44" xr10:uidLastSave="{00000000-0000-0000-0000-000000000000}"/>
  <bookViews>
    <workbookView xWindow="-30630" yWindow="3225" windowWidth="28800" windowHeight="15375" activeTab="7" xr2:uid="{00000000-000D-0000-FFFF-FFFF00000000}"/>
  </bookViews>
  <sheets>
    <sheet name="Input Data_4x3x3matrix_oil_gas" sheetId="12" r:id="rId1"/>
    <sheet name="Probability Tree 4x3x3 matrix" sheetId="13" r:id="rId2"/>
    <sheet name="BS" sheetId="6" r:id="rId3"/>
    <sheet name="Probability tree BS" sheetId="7" r:id="rId4"/>
    <sheet name="NNS" sheetId="5" r:id="rId5"/>
    <sheet name="Probability tree NNS" sheetId="8" r:id="rId6"/>
    <sheet name="NS" sheetId="4" r:id="rId7"/>
    <sheet name="Probability tree NS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7" l="1"/>
  <c r="F6" i="7"/>
  <c r="F5" i="7"/>
  <c r="F3" i="7"/>
  <c r="F2" i="7"/>
  <c r="F33" i="7"/>
  <c r="F32" i="7"/>
  <c r="F29" i="7"/>
  <c r="F24" i="7"/>
  <c r="F17" i="7"/>
  <c r="F15" i="7"/>
  <c r="F14" i="7"/>
  <c r="F12" i="7"/>
  <c r="F11" i="7"/>
  <c r="D34" i="7"/>
  <c r="D33" i="7"/>
  <c r="D32" i="7"/>
  <c r="D31" i="7"/>
  <c r="D30" i="7"/>
  <c r="D29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B31" i="7"/>
  <c r="B32" i="7"/>
  <c r="B33" i="7"/>
  <c r="B34" i="7"/>
  <c r="B35" i="7"/>
  <c r="B36" i="7"/>
  <c r="B37" i="7"/>
  <c r="B30" i="7"/>
  <c r="B29" i="7"/>
  <c r="B22" i="7"/>
  <c r="B23" i="7"/>
  <c r="B24" i="7"/>
  <c r="B25" i="7"/>
  <c r="B26" i="7"/>
  <c r="B27" i="7"/>
  <c r="B28" i="7"/>
  <c r="B21" i="7"/>
  <c r="B20" i="7"/>
  <c r="B4" i="7"/>
  <c r="B5" i="7"/>
  <c r="B6" i="7"/>
  <c r="B7" i="7"/>
  <c r="B8" i="7"/>
  <c r="B9" i="7"/>
  <c r="B10" i="7"/>
  <c r="B3" i="7"/>
  <c r="B2" i="7"/>
  <c r="F36" i="6"/>
  <c r="I36" i="6" s="1"/>
  <c r="K35" i="6"/>
  <c r="F27" i="6"/>
  <c r="I27" i="6" s="1"/>
  <c r="K27" i="6" s="1"/>
  <c r="F25" i="6"/>
  <c r="I25" i="6" s="1"/>
  <c r="K25" i="6" s="1"/>
  <c r="F24" i="6"/>
  <c r="I24" i="6" s="1"/>
  <c r="K24" i="6" s="1"/>
  <c r="I23" i="6"/>
  <c r="K23" i="6" s="1"/>
  <c r="F23" i="6"/>
  <c r="F22" i="6"/>
  <c r="I22" i="6" s="1"/>
  <c r="K22" i="6" s="1"/>
  <c r="F21" i="6"/>
  <c r="I21" i="6" s="1"/>
  <c r="K21" i="6" s="1"/>
  <c r="F20" i="6"/>
  <c r="I20" i="6" s="1"/>
  <c r="K20" i="6" s="1"/>
  <c r="F19" i="6"/>
  <c r="I19" i="6" s="1"/>
  <c r="K19" i="6" s="1"/>
  <c r="F18" i="6"/>
  <c r="I18" i="6" s="1"/>
  <c r="K18" i="6" s="1"/>
  <c r="K17" i="6"/>
  <c r="F17" i="6"/>
  <c r="I11" i="6"/>
  <c r="K11" i="6" s="1"/>
  <c r="F11" i="6"/>
  <c r="F10" i="6"/>
  <c r="I10" i="6" s="1"/>
  <c r="K10" i="6" s="1"/>
  <c r="F9" i="6"/>
  <c r="I9" i="6" s="1"/>
  <c r="K9" i="6" s="1"/>
  <c r="F5" i="6"/>
  <c r="I5" i="6" s="1"/>
  <c r="K5" i="6" s="1"/>
  <c r="F3" i="6"/>
  <c r="I3" i="6" s="1"/>
  <c r="K3" i="6" s="1"/>
  <c r="F7" i="8"/>
  <c r="F6" i="8"/>
  <c r="F4" i="8"/>
  <c r="F3" i="8"/>
  <c r="D7" i="8"/>
  <c r="D6" i="8"/>
  <c r="D5" i="8"/>
  <c r="D4" i="8"/>
  <c r="D3" i="8"/>
  <c r="D2" i="8"/>
  <c r="F34" i="9"/>
  <c r="F33" i="9"/>
  <c r="F31" i="9"/>
  <c r="F30" i="9"/>
  <c r="F29" i="9"/>
  <c r="F25" i="9"/>
  <c r="F24" i="9"/>
  <c r="F23" i="9"/>
  <c r="F22" i="9"/>
  <c r="F21" i="9"/>
  <c r="F20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2" i="9"/>
  <c r="B20" i="9"/>
  <c r="B11" i="9"/>
  <c r="B2" i="9"/>
  <c r="F36" i="13"/>
  <c r="F35" i="13"/>
  <c r="F34" i="13"/>
  <c r="F33" i="13"/>
  <c r="F32" i="13"/>
  <c r="G32" i="13" s="1"/>
  <c r="F31" i="13"/>
  <c r="F30" i="13"/>
  <c r="F29" i="13"/>
  <c r="F27" i="13"/>
  <c r="F26" i="13"/>
  <c r="F25" i="13"/>
  <c r="F24" i="13"/>
  <c r="F23" i="13"/>
  <c r="F22" i="13"/>
  <c r="F21" i="13"/>
  <c r="F20" i="13"/>
  <c r="F19" i="13"/>
  <c r="F18" i="13"/>
  <c r="F17" i="13"/>
  <c r="D3" i="13"/>
  <c r="F16" i="13"/>
  <c r="F15" i="13"/>
  <c r="G15" i="13" s="1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  <c r="D37" i="13"/>
  <c r="D36" i="13"/>
  <c r="D35" i="13"/>
  <c r="D34" i="13"/>
  <c r="D33" i="13"/>
  <c r="D32" i="13"/>
  <c r="D31" i="13"/>
  <c r="D30" i="13"/>
  <c r="D29" i="13"/>
  <c r="G29" i="13" s="1"/>
  <c r="D28" i="13"/>
  <c r="D27" i="13"/>
  <c r="D26" i="13"/>
  <c r="D25" i="13"/>
  <c r="D24" i="13"/>
  <c r="D23" i="13"/>
  <c r="D22" i="13"/>
  <c r="D21" i="13"/>
  <c r="G21" i="13" s="1"/>
  <c r="D20" i="13"/>
  <c r="D19" i="13"/>
  <c r="G19" i="13" s="1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2" i="13"/>
  <c r="G2" i="13" s="1"/>
  <c r="B31" i="13"/>
  <c r="B32" i="13"/>
  <c r="B33" i="13"/>
  <c r="G33" i="13" s="1"/>
  <c r="B34" i="13"/>
  <c r="G34" i="13" s="1"/>
  <c r="B35" i="13"/>
  <c r="B36" i="13"/>
  <c r="B37" i="13"/>
  <c r="G37" i="13" s="1"/>
  <c r="B30" i="13"/>
  <c r="G30" i="13" s="1"/>
  <c r="B29" i="13"/>
  <c r="B22" i="13"/>
  <c r="G22" i="13" s="1"/>
  <c r="B23" i="13"/>
  <c r="B24" i="13"/>
  <c r="B25" i="13"/>
  <c r="B26" i="13"/>
  <c r="B27" i="13"/>
  <c r="G27" i="13" s="1"/>
  <c r="B28" i="13"/>
  <c r="G28" i="13" s="1"/>
  <c r="B21" i="13"/>
  <c r="B20" i="13"/>
  <c r="G20" i="13" s="1"/>
  <c r="B4" i="13"/>
  <c r="B5" i="13"/>
  <c r="G5" i="13" s="1"/>
  <c r="B6" i="13"/>
  <c r="B7" i="13"/>
  <c r="G7" i="13" s="1"/>
  <c r="B8" i="13"/>
  <c r="B9" i="13"/>
  <c r="B10" i="13"/>
  <c r="B3" i="13"/>
  <c r="B2" i="13"/>
  <c r="F37" i="13"/>
  <c r="G36" i="13"/>
  <c r="G35" i="13"/>
  <c r="F28" i="13"/>
  <c r="G26" i="13"/>
  <c r="G24" i="13"/>
  <c r="B19" i="13"/>
  <c r="B18" i="13"/>
  <c r="G18" i="13" s="1"/>
  <c r="B17" i="13"/>
  <c r="G17" i="13" s="1"/>
  <c r="G16" i="13"/>
  <c r="B16" i="13"/>
  <c r="B15" i="13"/>
  <c r="B14" i="13"/>
  <c r="G14" i="13" s="1"/>
  <c r="B13" i="13"/>
  <c r="B12" i="13"/>
  <c r="G12" i="13" s="1"/>
  <c r="G11" i="13"/>
  <c r="B11" i="13"/>
  <c r="G10" i="13"/>
  <c r="G6" i="13"/>
  <c r="G3" i="13"/>
  <c r="K37" i="12"/>
  <c r="K31" i="12"/>
  <c r="F101" i="12"/>
  <c r="I101" i="12" s="1"/>
  <c r="K101" i="12" s="1"/>
  <c r="F100" i="12"/>
  <c r="I100" i="12" s="1"/>
  <c r="K100" i="12" s="1"/>
  <c r="F93" i="12"/>
  <c r="I93" i="12" s="1"/>
  <c r="K93" i="12" s="1"/>
  <c r="F33" i="12"/>
  <c r="I33" i="12" s="1"/>
  <c r="K33" i="12" s="1"/>
  <c r="F104" i="12"/>
  <c r="I104" i="12" s="1"/>
  <c r="K104" i="12" s="1"/>
  <c r="F41" i="12"/>
  <c r="I41" i="12" s="1"/>
  <c r="K41" i="12" s="1"/>
  <c r="F102" i="12"/>
  <c r="I102" i="12" s="1"/>
  <c r="K102" i="12" s="1"/>
  <c r="F34" i="12"/>
  <c r="I34" i="12" s="1"/>
  <c r="K34" i="12" s="1"/>
  <c r="F3" i="12"/>
  <c r="I3" i="12" s="1"/>
  <c r="K3" i="12" s="1"/>
  <c r="F150" i="12"/>
  <c r="I150" i="12" s="1"/>
  <c r="K150" i="12" s="1"/>
  <c r="F31" i="12"/>
  <c r="F39" i="12"/>
  <c r="I39" i="12" s="1"/>
  <c r="K39" i="12" s="1"/>
  <c r="F28" i="12"/>
  <c r="I28" i="12" s="1"/>
  <c r="K28" i="12" s="1"/>
  <c r="F32" i="12"/>
  <c r="I32" i="12" s="1"/>
  <c r="K32" i="12" s="1"/>
  <c r="F38" i="12"/>
  <c r="I38" i="12" s="1"/>
  <c r="F103" i="12"/>
  <c r="I103" i="12" s="1"/>
  <c r="K103" i="12" s="1"/>
  <c r="G13" i="13" l="1"/>
  <c r="G25" i="13"/>
  <c r="G9" i="13"/>
  <c r="H9" i="13" s="1"/>
  <c r="L10" i="13" s="1"/>
  <c r="G31" i="13"/>
  <c r="G23" i="13"/>
  <c r="H5" i="13" s="1"/>
  <c r="L6" i="13" s="1"/>
  <c r="H6" i="13"/>
  <c r="L7" i="13" s="1"/>
  <c r="G8" i="13"/>
  <c r="H8" i="13" s="1"/>
  <c r="L9" i="13" s="1"/>
  <c r="G4" i="13"/>
  <c r="H4" i="13" s="1"/>
  <c r="L5" i="13" s="1"/>
  <c r="H7" i="13"/>
  <c r="L8" i="13" s="1"/>
  <c r="H16" i="13"/>
  <c r="M8" i="13" s="1"/>
  <c r="H14" i="13"/>
  <c r="M6" i="13" s="1"/>
  <c r="H37" i="13"/>
  <c r="O11" i="13" s="1"/>
  <c r="H12" i="13"/>
  <c r="M4" i="13" s="1"/>
  <c r="H30" i="13"/>
  <c r="O4" i="13" s="1"/>
  <c r="H25" i="13"/>
  <c r="N8" i="13" s="1"/>
  <c r="H34" i="13"/>
  <c r="O8" i="13" s="1"/>
  <c r="H36" i="13"/>
  <c r="O10" i="13" s="1"/>
  <c r="H15" i="13"/>
  <c r="M7" i="13" s="1"/>
  <c r="H22" i="13"/>
  <c r="N5" i="13" s="1"/>
  <c r="H24" i="13"/>
  <c r="N7" i="13" s="1"/>
  <c r="H27" i="13"/>
  <c r="N10" i="13" s="1"/>
  <c r="H29" i="13"/>
  <c r="O3" i="13" s="1"/>
  <c r="H21" i="13"/>
  <c r="N4" i="13" s="1"/>
  <c r="H2" i="13"/>
  <c r="H11" i="13"/>
  <c r="M3" i="13" s="1"/>
  <c r="H20" i="13"/>
  <c r="N3" i="13" s="1"/>
  <c r="H3" i="13"/>
  <c r="L4" i="13" s="1"/>
  <c r="H10" i="13"/>
  <c r="L11" i="13" s="1"/>
  <c r="H19" i="13"/>
  <c r="M11" i="13" s="1"/>
  <c r="H28" i="13"/>
  <c r="N11" i="13" s="1"/>
  <c r="H33" i="13"/>
  <c r="O7" i="13" s="1"/>
  <c r="H17" i="13" l="1"/>
  <c r="M9" i="13" s="1"/>
  <c r="H32" i="13"/>
  <c r="O6" i="13" s="1"/>
  <c r="H23" i="13"/>
  <c r="N6" i="13" s="1"/>
  <c r="H35" i="13"/>
  <c r="O9" i="13" s="1"/>
  <c r="H26" i="13"/>
  <c r="N9" i="13" s="1"/>
  <c r="H18" i="13"/>
  <c r="M10" i="13" s="1"/>
  <c r="H13" i="13"/>
  <c r="M5" i="13" s="1"/>
  <c r="H31" i="13"/>
  <c r="O5" i="13" s="1"/>
  <c r="L3" i="13"/>
  <c r="N9" i="9" l="1"/>
  <c r="G37" i="9"/>
  <c r="G36" i="9"/>
  <c r="G35" i="9"/>
  <c r="G34" i="9"/>
  <c r="G33" i="9"/>
  <c r="G31" i="9"/>
  <c r="G30" i="9"/>
  <c r="G29" i="9"/>
  <c r="G28" i="9"/>
  <c r="G27" i="9"/>
  <c r="H9" i="9" s="1"/>
  <c r="G26" i="9"/>
  <c r="G25" i="9"/>
  <c r="G24" i="9"/>
  <c r="G23" i="9"/>
  <c r="G22" i="9"/>
  <c r="G21" i="9"/>
  <c r="G20" i="9"/>
  <c r="G19" i="9"/>
  <c r="H19" i="9" s="1"/>
  <c r="G18" i="9"/>
  <c r="G17" i="9"/>
  <c r="G16" i="9"/>
  <c r="G15" i="9"/>
  <c r="G14" i="9"/>
  <c r="H14" i="9" s="1"/>
  <c r="M6" i="9" s="1"/>
  <c r="G13" i="9"/>
  <c r="G12" i="9"/>
  <c r="G11" i="9"/>
  <c r="G10" i="9"/>
  <c r="O9" i="9"/>
  <c r="M9" i="9"/>
  <c r="L9" i="9"/>
  <c r="G9" i="9"/>
  <c r="G8" i="9"/>
  <c r="G7" i="9"/>
  <c r="G6" i="9"/>
  <c r="G5" i="9"/>
  <c r="G4" i="9"/>
  <c r="G3" i="9"/>
  <c r="H32" i="9" l="1"/>
  <c r="O6" i="9" s="1"/>
  <c r="H37" i="9"/>
  <c r="H24" i="9"/>
  <c r="H7" i="9"/>
  <c r="H22" i="9"/>
  <c r="N5" i="9" s="1"/>
  <c r="H3" i="9"/>
  <c r="H10" i="9"/>
  <c r="L11" i="9" s="1"/>
  <c r="H28" i="9"/>
  <c r="N11" i="9" s="1"/>
  <c r="H27" i="9"/>
  <c r="H18" i="9"/>
  <c r="H36" i="9"/>
  <c r="O10" i="9" s="1"/>
  <c r="H34" i="9"/>
  <c r="O8" i="9" s="1"/>
  <c r="H25" i="9"/>
  <c r="H16" i="9"/>
  <c r="H33" i="9"/>
  <c r="O7" i="9" s="1"/>
  <c r="H6" i="9"/>
  <c r="L7" i="9" s="1"/>
  <c r="H15" i="9"/>
  <c r="M7" i="9" s="1"/>
  <c r="H23" i="9"/>
  <c r="N6" i="9" s="1"/>
  <c r="H5" i="9"/>
  <c r="L6" i="9" s="1"/>
  <c r="H13" i="9"/>
  <c r="M5" i="9" s="1"/>
  <c r="H31" i="9"/>
  <c r="O5" i="9" s="1"/>
  <c r="H4" i="9"/>
  <c r="L5" i="9" s="1"/>
  <c r="H21" i="9"/>
  <c r="N4" i="9" s="1"/>
  <c r="H12" i="9"/>
  <c r="M4" i="9" s="1"/>
  <c r="H30" i="9"/>
  <c r="O4" i="9" s="1"/>
  <c r="M10" i="9"/>
  <c r="L8" i="9"/>
  <c r="N7" i="9"/>
  <c r="M8" i="9"/>
  <c r="L4" i="9"/>
  <c r="N10" i="9"/>
  <c r="L10" i="9"/>
  <c r="O11" i="9"/>
  <c r="M11" i="9"/>
  <c r="N8" i="9"/>
  <c r="G2" i="9"/>
  <c r="F37" i="8"/>
  <c r="G37" i="8" s="1"/>
  <c r="F36" i="8"/>
  <c r="G36" i="8" s="1"/>
  <c r="H36" i="8" s="1"/>
  <c r="F35" i="8"/>
  <c r="G35" i="8" s="1"/>
  <c r="F34" i="8"/>
  <c r="G34" i="8" s="1"/>
  <c r="F33" i="8"/>
  <c r="F32" i="8"/>
  <c r="G32" i="8" s="1"/>
  <c r="F31" i="8"/>
  <c r="G31" i="8" s="1"/>
  <c r="F30" i="8"/>
  <c r="F29" i="8"/>
  <c r="G29" i="8"/>
  <c r="F28" i="8"/>
  <c r="G28" i="8" s="1"/>
  <c r="F27" i="8"/>
  <c r="F26" i="8"/>
  <c r="F25" i="8"/>
  <c r="G25" i="8" s="1"/>
  <c r="F24" i="8"/>
  <c r="G24" i="8" s="1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G11" i="8" s="1"/>
  <c r="F10" i="8"/>
  <c r="F9" i="8"/>
  <c r="G9" i="8" s="1"/>
  <c r="F8" i="8"/>
  <c r="G8" i="8" s="1"/>
  <c r="F5" i="8"/>
  <c r="F2" i="8"/>
  <c r="B13" i="8"/>
  <c r="B14" i="8"/>
  <c r="B15" i="8"/>
  <c r="G15" i="8" s="1"/>
  <c r="B16" i="8"/>
  <c r="B17" i="8"/>
  <c r="B18" i="8"/>
  <c r="G18" i="8" s="1"/>
  <c r="H18" i="8" s="1"/>
  <c r="B19" i="8"/>
  <c r="B12" i="8"/>
  <c r="B11" i="8"/>
  <c r="G33" i="8"/>
  <c r="G30" i="8"/>
  <c r="G27" i="8"/>
  <c r="G26" i="8"/>
  <c r="G23" i="8"/>
  <c r="G22" i="8"/>
  <c r="G21" i="8"/>
  <c r="G20" i="8"/>
  <c r="G17" i="8"/>
  <c r="G14" i="8"/>
  <c r="G13" i="8"/>
  <c r="G12" i="8"/>
  <c r="G10" i="8"/>
  <c r="G7" i="8"/>
  <c r="G6" i="8"/>
  <c r="G5" i="8"/>
  <c r="G4" i="8"/>
  <c r="G3" i="8"/>
  <c r="G33" i="7"/>
  <c r="G34" i="7"/>
  <c r="G29" i="7"/>
  <c r="G24" i="7"/>
  <c r="G25" i="7"/>
  <c r="G28" i="7"/>
  <c r="G21" i="7"/>
  <c r="B13" i="7"/>
  <c r="B14" i="7"/>
  <c r="G14" i="7" s="1"/>
  <c r="B15" i="7"/>
  <c r="B16" i="7"/>
  <c r="B17" i="7"/>
  <c r="B18" i="7"/>
  <c r="G18" i="7" s="1"/>
  <c r="B19" i="7"/>
  <c r="G19" i="7" s="1"/>
  <c r="B12" i="7"/>
  <c r="B11" i="7"/>
  <c r="G5" i="7"/>
  <c r="G9" i="7"/>
  <c r="G37" i="7"/>
  <c r="G36" i="7"/>
  <c r="G35" i="7"/>
  <c r="G32" i="7"/>
  <c r="G31" i="7"/>
  <c r="G30" i="7"/>
  <c r="G27" i="7"/>
  <c r="G26" i="7"/>
  <c r="G23" i="7"/>
  <c r="G22" i="7"/>
  <c r="G20" i="7"/>
  <c r="G17" i="7"/>
  <c r="G15" i="7"/>
  <c r="G13" i="7"/>
  <c r="G12" i="7"/>
  <c r="G11" i="7"/>
  <c r="G10" i="7"/>
  <c r="G8" i="7"/>
  <c r="G7" i="7"/>
  <c r="G6" i="7"/>
  <c r="G4" i="7"/>
  <c r="G3" i="7"/>
  <c r="G2" i="7"/>
  <c r="H9" i="8" l="1"/>
  <c r="H27" i="8"/>
  <c r="H4" i="8"/>
  <c r="L5" i="8" s="1"/>
  <c r="H33" i="8"/>
  <c r="O7" i="8" s="1"/>
  <c r="G16" i="8"/>
  <c r="H34" i="8" s="1"/>
  <c r="O8" i="8" s="1"/>
  <c r="H21" i="8"/>
  <c r="G19" i="8"/>
  <c r="H6" i="8"/>
  <c r="L7" i="8" s="1"/>
  <c r="H15" i="8"/>
  <c r="M7" i="8" s="1"/>
  <c r="H24" i="8"/>
  <c r="H13" i="8"/>
  <c r="M5" i="8" s="1"/>
  <c r="H22" i="8"/>
  <c r="N5" i="8" s="1"/>
  <c r="H31" i="8"/>
  <c r="O5" i="8" s="1"/>
  <c r="H12" i="8"/>
  <c r="H30" i="8"/>
  <c r="O4" i="8" s="1"/>
  <c r="H3" i="8"/>
  <c r="L4" i="8" s="1"/>
  <c r="H29" i="9"/>
  <c r="O3" i="9" s="1"/>
  <c r="H20" i="9"/>
  <c r="N3" i="9" s="1"/>
  <c r="H11" i="9"/>
  <c r="M3" i="9" s="1"/>
  <c r="H2" i="9"/>
  <c r="L9" i="8"/>
  <c r="M9" i="8"/>
  <c r="L6" i="8"/>
  <c r="L10" i="8"/>
  <c r="N9" i="8"/>
  <c r="M10" i="8"/>
  <c r="N7" i="8"/>
  <c r="M4" i="8"/>
  <c r="M6" i="8"/>
  <c r="O10" i="8"/>
  <c r="N4" i="8"/>
  <c r="N6" i="8"/>
  <c r="O6" i="8"/>
  <c r="O9" i="8"/>
  <c r="N10" i="8"/>
  <c r="G2" i="8"/>
  <c r="G16" i="7"/>
  <c r="L5" i="7"/>
  <c r="H12" i="7"/>
  <c r="M4" i="7" s="1"/>
  <c r="H9" i="7"/>
  <c r="L10" i="7" s="1"/>
  <c r="L8" i="7"/>
  <c r="H15" i="7"/>
  <c r="M7" i="7" s="1"/>
  <c r="H26" i="7"/>
  <c r="N9" i="7" s="1"/>
  <c r="L11" i="7"/>
  <c r="H5" i="7"/>
  <c r="L6" i="7" s="1"/>
  <c r="M5" i="7"/>
  <c r="H3" i="7"/>
  <c r="L4" i="7" s="1"/>
  <c r="H6" i="7"/>
  <c r="L7" i="7" s="1"/>
  <c r="H17" i="7"/>
  <c r="M9" i="7" s="1"/>
  <c r="M11" i="7"/>
  <c r="H21" i="7"/>
  <c r="N4" i="7" s="1"/>
  <c r="H23" i="7"/>
  <c r="N6" i="7" s="1"/>
  <c r="N11" i="7"/>
  <c r="H30" i="7"/>
  <c r="O4" i="7" s="1"/>
  <c r="O11" i="7"/>
  <c r="H33" i="7"/>
  <c r="O7" i="7" s="1"/>
  <c r="H8" i="7"/>
  <c r="L9" i="7" s="1"/>
  <c r="H14" i="7"/>
  <c r="M6" i="7" s="1"/>
  <c r="M8" i="7"/>
  <c r="N8" i="7"/>
  <c r="H27" i="7"/>
  <c r="N10" i="7" s="1"/>
  <c r="H32" i="7"/>
  <c r="O6" i="7" s="1"/>
  <c r="O8" i="7"/>
  <c r="H24" i="7"/>
  <c r="N7" i="7" s="1"/>
  <c r="H35" i="7"/>
  <c r="O9" i="7" s="1"/>
  <c r="H2" i="7"/>
  <c r="H11" i="7"/>
  <c r="M3" i="7" s="1"/>
  <c r="H18" i="7"/>
  <c r="M10" i="7" s="1"/>
  <c r="H20" i="7"/>
  <c r="N3" i="7" s="1"/>
  <c r="N5" i="7"/>
  <c r="H29" i="7"/>
  <c r="O3" i="7" s="1"/>
  <c r="O5" i="7"/>
  <c r="H36" i="7"/>
  <c r="O10" i="7" s="1"/>
  <c r="H16" i="8" l="1"/>
  <c r="M8" i="8" s="1"/>
  <c r="H25" i="8"/>
  <c r="N8" i="8" s="1"/>
  <c r="H10" i="8"/>
  <c r="L11" i="8" s="1"/>
  <c r="H19" i="8"/>
  <c r="M11" i="8" s="1"/>
  <c r="H37" i="8"/>
  <c r="O11" i="8" s="1"/>
  <c r="H7" i="8"/>
  <c r="L8" i="8" s="1"/>
  <c r="H28" i="8"/>
  <c r="N11" i="8" s="1"/>
  <c r="H2" i="8"/>
  <c r="H11" i="8"/>
  <c r="M3" i="8" s="1"/>
  <c r="H20" i="8"/>
  <c r="N3" i="8" s="1"/>
  <c r="H29" i="8"/>
  <c r="L3" i="9"/>
  <c r="O3" i="8"/>
  <c r="L3" i="7"/>
  <c r="L3" i="8" l="1"/>
</calcChain>
</file>

<file path=xl/sharedStrings.xml><?xml version="1.0" encoding="utf-8"?>
<sst xmlns="http://schemas.openxmlformats.org/spreadsheetml/2006/main" count="2301" uniqueCount="59">
  <si>
    <t>Depth</t>
  </si>
  <si>
    <t>HC_column</t>
  </si>
  <si>
    <t>Trap_height</t>
  </si>
  <si>
    <t>Class _1_Trap fill</t>
  </si>
  <si>
    <t>Class_2 _trap height</t>
  </si>
  <si>
    <t>Class_3_depth</t>
  </si>
  <si>
    <t>0-50%</t>
  </si>
  <si>
    <t>51-75%</t>
  </si>
  <si>
    <t>76-99%</t>
  </si>
  <si>
    <t>Trap fill</t>
  </si>
  <si>
    <t>Prob of trap fill</t>
  </si>
  <si>
    <t>Trap height</t>
  </si>
  <si>
    <t>Probability of trap height</t>
  </si>
  <si>
    <t>Overburden</t>
  </si>
  <si>
    <t>Probability of overburden</t>
  </si>
  <si>
    <t>Absolute probability</t>
  </si>
  <si>
    <t>Normalised</t>
  </si>
  <si>
    <t>0-50</t>
  </si>
  <si>
    <t>0-150</t>
  </si>
  <si>
    <t>0-1500</t>
  </si>
  <si>
    <t>Height</t>
  </si>
  <si>
    <t>50-75%</t>
  </si>
  <si>
    <t>75-99%</t>
  </si>
  <si>
    <t>1501-3000</t>
  </si>
  <si>
    <t>&gt;3000</t>
  </si>
  <si>
    <t>1500-3000</t>
  </si>
  <si>
    <t>150-300</t>
  </si>
  <si>
    <t>&gt;3001</t>
  </si>
  <si>
    <t>&gt;300</t>
  </si>
  <si>
    <t>51-75</t>
  </si>
  <si>
    <t>Trap-fill</t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</si>
  <si>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</si>
  <si>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</si>
  <si>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</si>
  <si>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</si>
  <si>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</si>
  <si>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</si>
  <si>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</si>
  <si>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</si>
  <si>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</si>
  <si>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 xml:space="preserve"> </t>
  </si>
  <si>
    <t>76-99</t>
  </si>
  <si>
    <t>Area</t>
  </si>
  <si>
    <t>Trap_fill_%</t>
  </si>
  <si>
    <t>Overburden bin</t>
  </si>
  <si>
    <t>Trap height bin</t>
  </si>
  <si>
    <t>151-300</t>
  </si>
  <si>
    <t>Row</t>
  </si>
  <si>
    <t>BS</t>
  </si>
  <si>
    <t>NS</t>
  </si>
  <si>
    <t>Trap fill bin</t>
  </si>
  <si>
    <t xml:space="preserve">Gas column </t>
  </si>
  <si>
    <t>Oil column</t>
  </si>
  <si>
    <t>0-150 m</t>
  </si>
  <si>
    <t>151 -300 m</t>
  </si>
  <si>
    <t>&gt; 300 m</t>
  </si>
  <si>
    <t xml:space="preserve">0 - 1500 m </t>
  </si>
  <si>
    <t>1501 - 3000 m</t>
  </si>
  <si>
    <t>&gt; 3000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</si>
</sst>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>
      <alignment horizontal="right"/>
    </xf>
    <xf numFmtId="9" fontId="2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49" fontId="3" fillId="0" borderId="0" xfId="0" applyNumberFormat="1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4" fillId="0" borderId="0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9" fontId="3" fillId="2" borderId="2" xfId="0" applyNumberFormat="1" applyFont="1" applyFill="1" applyBorder="1" applyAlignment="1">
      <alignment horizontal="right"/>
    </xf>
    <xf numFmtId="0" fontId="4" fillId="0" borderId="2" xfId="0" applyFont="1" applyBorder="1"/>
    <xf numFmtId="49" fontId="4" fillId="0" borderId="2" xfId="0" applyNumberFormat="1" applyFont="1" applyBorder="1"/>
    <xf numFmtId="164" fontId="4" fillId="0" borderId="2" xfId="0" applyNumberFormat="1" applyFont="1" applyBorder="1"/>
    <xf numFmtId="0" fontId="4" fillId="0" borderId="2" xfId="0" applyFont="1" applyFill="1" applyBorder="1"/>
    <xf numFmtId="49" fontId="4" fillId="0" borderId="2" xfId="0" applyNumberFormat="1" applyFont="1" applyFill="1" applyBorder="1"/>
    <xf numFmtId="164" fontId="4" fillId="0" borderId="2" xfId="0" applyNumberFormat="1" applyFont="1" applyFill="1" applyBorder="1"/>
    <xf numFmtId="164" fontId="4" fillId="0" borderId="0" xfId="0" applyNumberFormat="1" applyFont="1" applyFill="1" applyBorder="1"/>
    <xf numFmtId="0" fontId="3" fillId="3" borderId="2" xfId="0" applyFont="1" applyFill="1" applyBorder="1"/>
    <xf numFmtId="49" fontId="3" fillId="3" borderId="2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2" fontId="4" fillId="0" borderId="2" xfId="0" applyNumberFormat="1" applyFont="1" applyFill="1" applyBorder="1"/>
    <xf numFmtId="9" fontId="4" fillId="0" borderId="2" xfId="0" applyNumberFormat="1" applyFont="1" applyBorder="1" applyAlignment="1">
      <alignment horizontal="left"/>
    </xf>
    <xf numFmtId="164" fontId="4" fillId="0" borderId="0" xfId="0" applyNumberFormat="1" applyFont="1" applyFill="1"/>
    <xf numFmtId="165" fontId="4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2" fontId="4" fillId="0" borderId="0" xfId="0" applyNumberFormat="1" applyFont="1" applyFill="1"/>
    <xf numFmtId="49" fontId="4" fillId="0" borderId="0" xfId="0" applyNumberFormat="1" applyFont="1" applyFill="1"/>
    <xf numFmtId="2" fontId="0" fillId="0" borderId="0" xfId="0" applyNumberFormat="1"/>
    <xf numFmtId="164" fontId="4" fillId="0" borderId="0" xfId="0" applyNumberFormat="1" applyFont="1" applyBorder="1"/>
    <xf numFmtId="2" fontId="2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/>
    <xf numFmtId="1" fontId="4" fillId="0" borderId="0" xfId="0" applyNumberFormat="1" applyFont="1" applyFill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0" fillId="0" borderId="0" xfId="0" applyNumberFormat="1"/>
    <xf numFmtId="0" fontId="3" fillId="0" borderId="0" xfId="0" applyFont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3"/>
  <sheetViews>
    <sheetView zoomScale="96" zoomScaleNormal="96" workbookViewId="0">
      <selection activeCell="L36" sqref="L36"/>
    </sheetView>
  </sheetViews>
  <sheetFormatPr defaultColWidth="8.75" defaultRowHeight="12.75" x14ac:dyDescent="0.2"/>
  <cols>
    <col min="1" max="2" width="10.625" style="58" customWidth="1"/>
    <col min="3" max="3" width="16.25" style="58" customWidth="1"/>
    <col min="4" max="4" width="10.625" style="58" customWidth="1"/>
    <col min="5" max="5" width="11.25" style="58" bestFit="1" customWidth="1"/>
    <col min="6" max="6" width="12.125" style="58" bestFit="1" customWidth="1"/>
    <col min="7" max="7" width="12.25" style="58" bestFit="1" customWidth="1"/>
    <col min="8" max="8" width="15.125" style="58" bestFit="1" customWidth="1"/>
    <col min="9" max="9" width="11.5" style="58" bestFit="1" customWidth="1"/>
    <col min="10" max="10" width="13.625" style="58" customWidth="1"/>
    <col min="11" max="11" width="11.5" style="58" bestFit="1" customWidth="1"/>
    <col min="12" max="12" width="17.25" style="58" bestFit="1" customWidth="1"/>
    <col min="13" max="13" width="18.125" style="58" bestFit="1" customWidth="1"/>
    <col min="14" max="14" width="13.25" style="58" bestFit="1" customWidth="1"/>
    <col min="15" max="16384" width="8.75" style="55"/>
  </cols>
  <sheetData>
    <row r="1" spans="1:14" s="53" customFormat="1" x14ac:dyDescent="0.2">
      <c r="A1" s="57" t="s">
        <v>42</v>
      </c>
      <c r="B1" s="57" t="s">
        <v>13</v>
      </c>
      <c r="C1" s="57" t="s">
        <v>44</v>
      </c>
      <c r="D1" s="57" t="s">
        <v>51</v>
      </c>
      <c r="E1" s="57" t="s">
        <v>52</v>
      </c>
      <c r="F1" s="57" t="s">
        <v>1</v>
      </c>
      <c r="G1" s="57" t="s">
        <v>2</v>
      </c>
      <c r="H1" s="57" t="s">
        <v>45</v>
      </c>
      <c r="I1" s="57" t="s">
        <v>43</v>
      </c>
      <c r="J1" s="57" t="s">
        <v>50</v>
      </c>
      <c r="K1" s="57" t="s">
        <v>43</v>
      </c>
      <c r="L1" s="49" t="s">
        <v>3</v>
      </c>
      <c r="M1" s="49" t="s">
        <v>4</v>
      </c>
      <c r="N1" s="49" t="s">
        <v>5</v>
      </c>
    </row>
    <row r="2" spans="1:14" x14ac:dyDescent="0.2">
      <c r="A2" s="56" t="s">
        <v>48</v>
      </c>
      <c r="B2" s="56">
        <v>952</v>
      </c>
      <c r="C2" s="58" t="s">
        <v>56</v>
      </c>
      <c r="D2" s="54">
        <v>50</v>
      </c>
      <c r="E2" s="54">
        <v>1</v>
      </c>
      <c r="F2" s="56">
        <v>51</v>
      </c>
      <c r="G2" s="56">
        <v>145</v>
      </c>
      <c r="H2" s="58" t="s">
        <v>53</v>
      </c>
      <c r="I2" s="56">
        <v>35.172413793103445</v>
      </c>
      <c r="J2" s="1" t="s">
        <v>6</v>
      </c>
      <c r="K2" s="56">
        <v>35.172413793103445</v>
      </c>
      <c r="L2" s="1">
        <v>1</v>
      </c>
      <c r="M2" s="58">
        <v>1</v>
      </c>
      <c r="N2" s="58">
        <v>1</v>
      </c>
    </row>
    <row r="3" spans="1:14" x14ac:dyDescent="0.2">
      <c r="A3" s="56" t="s">
        <v>48</v>
      </c>
      <c r="B3" s="56">
        <v>1424</v>
      </c>
      <c r="C3" s="58" t="s">
        <v>56</v>
      </c>
      <c r="D3" s="56">
        <v>36.400000000000091</v>
      </c>
      <c r="E3" s="56">
        <v>0</v>
      </c>
      <c r="F3" s="56">
        <f>E3+D3</f>
        <v>36.400000000000091</v>
      </c>
      <c r="G3" s="56">
        <v>99</v>
      </c>
      <c r="H3" s="58" t="s">
        <v>53</v>
      </c>
      <c r="I3" s="56">
        <f>F3/G3*100</f>
        <v>36.767676767676861</v>
      </c>
      <c r="J3" s="1" t="s">
        <v>6</v>
      </c>
      <c r="K3" s="56">
        <f>I3</f>
        <v>36.767676767676861</v>
      </c>
      <c r="L3" s="1">
        <v>1</v>
      </c>
      <c r="M3" s="58">
        <v>1</v>
      </c>
      <c r="N3" s="58">
        <v>1</v>
      </c>
    </row>
    <row r="4" spans="1:14" x14ac:dyDescent="0.2">
      <c r="A4" s="58" t="s">
        <v>49</v>
      </c>
      <c r="B4" s="58">
        <v>1349</v>
      </c>
      <c r="C4" s="58" t="s">
        <v>56</v>
      </c>
      <c r="D4" s="58">
        <v>45</v>
      </c>
      <c r="E4" s="58">
        <v>6</v>
      </c>
      <c r="F4" s="58">
        <v>51</v>
      </c>
      <c r="G4" s="58">
        <v>108</v>
      </c>
      <c r="H4" s="58" t="s">
        <v>53</v>
      </c>
      <c r="I4" s="58">
        <v>47.222222222222221</v>
      </c>
      <c r="J4" s="1" t="s">
        <v>6</v>
      </c>
      <c r="K4" s="58">
        <v>47.222222222222221</v>
      </c>
      <c r="L4" s="1">
        <v>1</v>
      </c>
      <c r="M4" s="58">
        <v>1</v>
      </c>
      <c r="N4" s="58">
        <v>1</v>
      </c>
    </row>
    <row r="5" spans="1:14" x14ac:dyDescent="0.2">
      <c r="A5" s="58" t="s">
        <v>49</v>
      </c>
      <c r="B5" s="58">
        <v>1392</v>
      </c>
      <c r="C5" s="58" t="s">
        <v>56</v>
      </c>
      <c r="D5" s="58">
        <v>8</v>
      </c>
      <c r="E5" s="58">
        <v>36</v>
      </c>
      <c r="F5" s="58">
        <v>44</v>
      </c>
      <c r="G5" s="58">
        <v>90</v>
      </c>
      <c r="H5" s="58" t="s">
        <v>53</v>
      </c>
      <c r="I5" s="58">
        <v>48.888888888888886</v>
      </c>
      <c r="J5" s="1" t="s">
        <v>6</v>
      </c>
      <c r="K5" s="58">
        <v>48.888888888888886</v>
      </c>
      <c r="L5" s="1">
        <v>1</v>
      </c>
      <c r="M5" s="58">
        <v>1</v>
      </c>
      <c r="N5" s="58">
        <v>1</v>
      </c>
    </row>
    <row r="6" spans="1:14" x14ac:dyDescent="0.2">
      <c r="A6" s="58" t="s">
        <v>48</v>
      </c>
      <c r="B6" s="58">
        <v>216</v>
      </c>
      <c r="C6" s="58" t="s">
        <v>56</v>
      </c>
      <c r="D6" s="54">
        <v>20</v>
      </c>
      <c r="E6" s="54">
        <v>39</v>
      </c>
      <c r="F6" s="58">
        <v>59</v>
      </c>
      <c r="G6" s="58">
        <v>114</v>
      </c>
      <c r="H6" s="58" t="s">
        <v>53</v>
      </c>
      <c r="I6" s="58">
        <v>51.754385964912288</v>
      </c>
      <c r="J6" s="1" t="s">
        <v>7</v>
      </c>
      <c r="K6" s="58">
        <v>51.754385964912288</v>
      </c>
      <c r="L6" s="58">
        <v>2</v>
      </c>
      <c r="M6" s="58">
        <v>1</v>
      </c>
      <c r="N6" s="58">
        <v>1</v>
      </c>
    </row>
    <row r="7" spans="1:14" x14ac:dyDescent="0.2">
      <c r="A7" s="56" t="s">
        <v>48</v>
      </c>
      <c r="B7" s="56">
        <v>1099</v>
      </c>
      <c r="C7" s="58" t="s">
        <v>56</v>
      </c>
      <c r="D7" s="54">
        <v>0</v>
      </c>
      <c r="E7" s="54">
        <v>32</v>
      </c>
      <c r="F7" s="56">
        <v>30</v>
      </c>
      <c r="G7" s="56">
        <v>57</v>
      </c>
      <c r="H7" s="58" t="s">
        <v>53</v>
      </c>
      <c r="I7" s="56">
        <v>52.631578947368418</v>
      </c>
      <c r="J7" s="1" t="s">
        <v>7</v>
      </c>
      <c r="K7" s="56">
        <v>52.631578947368418</v>
      </c>
      <c r="L7" s="58">
        <v>2</v>
      </c>
      <c r="M7" s="58">
        <v>1</v>
      </c>
      <c r="N7" s="58">
        <v>1</v>
      </c>
    </row>
    <row r="8" spans="1:14" x14ac:dyDescent="0.2">
      <c r="A8" s="58" t="s">
        <v>49</v>
      </c>
      <c r="B8" s="58">
        <v>1498</v>
      </c>
      <c r="C8" s="58" t="s">
        <v>56</v>
      </c>
      <c r="D8" s="58">
        <v>26</v>
      </c>
      <c r="E8" s="58">
        <v>46</v>
      </c>
      <c r="F8" s="58">
        <v>72</v>
      </c>
      <c r="G8" s="58">
        <v>107</v>
      </c>
      <c r="H8" s="58" t="s">
        <v>53</v>
      </c>
      <c r="I8" s="58">
        <v>67.289719626168221</v>
      </c>
      <c r="J8" s="1" t="s">
        <v>7</v>
      </c>
      <c r="K8" s="58">
        <v>67.289719626168221</v>
      </c>
      <c r="L8" s="58">
        <v>2</v>
      </c>
      <c r="M8" s="58">
        <v>1</v>
      </c>
      <c r="N8" s="58">
        <v>1</v>
      </c>
    </row>
    <row r="9" spans="1:14" x14ac:dyDescent="0.2">
      <c r="A9" s="58" t="s">
        <v>48</v>
      </c>
      <c r="B9" s="58">
        <v>338</v>
      </c>
      <c r="C9" s="58" t="s">
        <v>56</v>
      </c>
      <c r="D9" s="54">
        <v>105</v>
      </c>
      <c r="E9" s="54">
        <v>2</v>
      </c>
      <c r="F9" s="58">
        <v>107</v>
      </c>
      <c r="G9" s="58">
        <v>140</v>
      </c>
      <c r="H9" s="58" t="s">
        <v>53</v>
      </c>
      <c r="I9" s="58">
        <v>76.428571428571416</v>
      </c>
      <c r="J9" s="1" t="s">
        <v>8</v>
      </c>
      <c r="K9" s="58">
        <v>76.428571428571416</v>
      </c>
      <c r="L9" s="58">
        <v>3</v>
      </c>
      <c r="M9" s="58">
        <v>1</v>
      </c>
      <c r="N9" s="58">
        <v>1</v>
      </c>
    </row>
    <row r="10" spans="1:14" x14ac:dyDescent="0.2">
      <c r="A10" s="58" t="s">
        <v>48</v>
      </c>
      <c r="B10" s="58">
        <v>1145</v>
      </c>
      <c r="C10" s="58" t="s">
        <v>56</v>
      </c>
      <c r="D10" s="54">
        <v>75</v>
      </c>
      <c r="E10" s="54">
        <v>58</v>
      </c>
      <c r="F10" s="58">
        <v>133</v>
      </c>
      <c r="G10" s="58">
        <v>144</v>
      </c>
      <c r="H10" s="58" t="s">
        <v>53</v>
      </c>
      <c r="I10" s="58">
        <v>92.361111111111114</v>
      </c>
      <c r="J10" s="1" t="s">
        <v>8</v>
      </c>
      <c r="K10" s="58">
        <v>92.361111111111114</v>
      </c>
      <c r="L10" s="58">
        <v>3</v>
      </c>
      <c r="M10" s="58">
        <v>1</v>
      </c>
      <c r="N10" s="58">
        <v>1</v>
      </c>
    </row>
    <row r="11" spans="1:14" x14ac:dyDescent="0.2">
      <c r="A11" s="58" t="s">
        <v>49</v>
      </c>
      <c r="B11" s="58">
        <v>1434</v>
      </c>
      <c r="C11" s="58" t="s">
        <v>56</v>
      </c>
      <c r="D11" s="58">
        <v>26</v>
      </c>
      <c r="E11" s="58">
        <v>36</v>
      </c>
      <c r="F11" s="58">
        <v>62</v>
      </c>
      <c r="G11" s="58">
        <v>76</v>
      </c>
      <c r="H11" s="58" t="s">
        <v>53</v>
      </c>
      <c r="I11" s="58">
        <v>81.578947368421055</v>
      </c>
      <c r="J11" s="1" t="s">
        <v>8</v>
      </c>
      <c r="K11" s="58">
        <v>81.578947368421055</v>
      </c>
      <c r="L11" s="58">
        <v>3</v>
      </c>
      <c r="M11" s="58">
        <v>1</v>
      </c>
      <c r="N11" s="58">
        <v>1</v>
      </c>
    </row>
    <row r="12" spans="1:14" x14ac:dyDescent="0.2">
      <c r="A12" s="56" t="s">
        <v>48</v>
      </c>
      <c r="B12" s="56">
        <v>534</v>
      </c>
      <c r="C12" s="58" t="s">
        <v>56</v>
      </c>
      <c r="D12" s="54">
        <v>42</v>
      </c>
      <c r="E12" s="54">
        <v>88</v>
      </c>
      <c r="F12" s="56">
        <v>130</v>
      </c>
      <c r="G12" s="56">
        <v>100</v>
      </c>
      <c r="H12" s="58" t="s">
        <v>53</v>
      </c>
      <c r="I12" s="56">
        <v>130</v>
      </c>
      <c r="J12" s="2">
        <v>1</v>
      </c>
      <c r="K12" s="56">
        <v>100</v>
      </c>
      <c r="L12" s="58">
        <v>4</v>
      </c>
      <c r="M12" s="58">
        <v>1</v>
      </c>
      <c r="N12" s="58">
        <v>1</v>
      </c>
    </row>
    <row r="13" spans="1:14" x14ac:dyDescent="0.2">
      <c r="A13" s="58" t="s">
        <v>48</v>
      </c>
      <c r="B13" s="58">
        <v>1130</v>
      </c>
      <c r="C13" s="58" t="s">
        <v>56</v>
      </c>
      <c r="D13" s="54">
        <v>62</v>
      </c>
      <c r="E13" s="54">
        <v>0</v>
      </c>
      <c r="F13" s="58">
        <v>62</v>
      </c>
      <c r="G13" s="58">
        <v>62</v>
      </c>
      <c r="H13" s="58" t="s">
        <v>53</v>
      </c>
      <c r="I13" s="58">
        <v>100</v>
      </c>
      <c r="J13" s="2">
        <v>1</v>
      </c>
      <c r="K13" s="58">
        <v>100</v>
      </c>
      <c r="L13" s="58">
        <v>4</v>
      </c>
      <c r="M13" s="58">
        <v>1</v>
      </c>
      <c r="N13" s="58">
        <v>1</v>
      </c>
    </row>
    <row r="14" spans="1:14" x14ac:dyDescent="0.2">
      <c r="A14" s="58" t="s">
        <v>48</v>
      </c>
      <c r="B14" s="58">
        <v>1451</v>
      </c>
      <c r="C14" s="58" t="s">
        <v>56</v>
      </c>
      <c r="D14" s="54">
        <v>0</v>
      </c>
      <c r="E14" s="54">
        <v>140</v>
      </c>
      <c r="F14" s="58">
        <v>140</v>
      </c>
      <c r="G14" s="58">
        <v>125</v>
      </c>
      <c r="H14" s="58" t="s">
        <v>53</v>
      </c>
      <c r="I14" s="58">
        <v>112.00000000000001</v>
      </c>
      <c r="J14" s="2">
        <v>1</v>
      </c>
      <c r="K14" s="58">
        <v>100</v>
      </c>
      <c r="L14" s="58">
        <v>4</v>
      </c>
      <c r="M14" s="58">
        <v>1</v>
      </c>
      <c r="N14" s="58">
        <v>1</v>
      </c>
    </row>
    <row r="15" spans="1:14" x14ac:dyDescent="0.2">
      <c r="A15" s="58" t="s">
        <v>49</v>
      </c>
      <c r="B15" s="58">
        <v>1063</v>
      </c>
      <c r="C15" s="58" t="s">
        <v>56</v>
      </c>
      <c r="D15" s="58">
        <v>69</v>
      </c>
      <c r="E15" s="58">
        <v>0</v>
      </c>
      <c r="F15" s="58">
        <v>69</v>
      </c>
      <c r="G15" s="58">
        <v>69</v>
      </c>
      <c r="H15" s="58" t="s">
        <v>53</v>
      </c>
      <c r="I15" s="58">
        <v>100</v>
      </c>
      <c r="J15" s="2">
        <v>1</v>
      </c>
      <c r="K15" s="58">
        <v>100</v>
      </c>
      <c r="L15" s="58">
        <v>4</v>
      </c>
      <c r="M15" s="58">
        <v>1</v>
      </c>
      <c r="N15" s="58">
        <v>1</v>
      </c>
    </row>
    <row r="16" spans="1:14" x14ac:dyDescent="0.2">
      <c r="A16" s="58" t="s">
        <v>49</v>
      </c>
      <c r="B16" s="58">
        <v>1123</v>
      </c>
      <c r="C16" s="58" t="s">
        <v>56</v>
      </c>
      <c r="D16" s="58">
        <v>122</v>
      </c>
      <c r="E16" s="58">
        <v>6</v>
      </c>
      <c r="F16" s="58">
        <v>128</v>
      </c>
      <c r="G16" s="58">
        <v>128</v>
      </c>
      <c r="H16" s="58" t="s">
        <v>53</v>
      </c>
      <c r="I16" s="58">
        <v>100</v>
      </c>
      <c r="J16" s="2">
        <v>1</v>
      </c>
      <c r="K16" s="58">
        <v>100</v>
      </c>
      <c r="L16" s="58">
        <v>4</v>
      </c>
      <c r="M16" s="58">
        <v>1</v>
      </c>
      <c r="N16" s="58">
        <v>1</v>
      </c>
    </row>
    <row r="17" spans="1:14" x14ac:dyDescent="0.2">
      <c r="A17" s="58" t="s">
        <v>49</v>
      </c>
      <c r="B17" s="58">
        <v>1169</v>
      </c>
      <c r="C17" s="58" t="s">
        <v>56</v>
      </c>
      <c r="D17" s="58">
        <v>38</v>
      </c>
      <c r="E17" s="58">
        <v>0</v>
      </c>
      <c r="F17" s="58">
        <v>38</v>
      </c>
      <c r="G17" s="58">
        <v>38</v>
      </c>
      <c r="H17" s="58" t="s">
        <v>53</v>
      </c>
      <c r="I17" s="58">
        <v>100</v>
      </c>
      <c r="J17" s="2">
        <v>1</v>
      </c>
      <c r="K17" s="58">
        <v>100</v>
      </c>
      <c r="L17" s="58">
        <v>4</v>
      </c>
      <c r="M17" s="58">
        <v>1</v>
      </c>
      <c r="N17" s="58">
        <v>1</v>
      </c>
    </row>
    <row r="18" spans="1:14" x14ac:dyDescent="0.2">
      <c r="A18" s="58" t="s">
        <v>49</v>
      </c>
      <c r="B18" s="58">
        <v>1278</v>
      </c>
      <c r="C18" s="58" t="s">
        <v>56</v>
      </c>
      <c r="D18" s="58">
        <v>0</v>
      </c>
      <c r="E18" s="58">
        <v>18</v>
      </c>
      <c r="F18" s="58">
        <v>18</v>
      </c>
      <c r="G18" s="58">
        <v>18</v>
      </c>
      <c r="H18" s="58" t="s">
        <v>53</v>
      </c>
      <c r="I18" s="58">
        <v>100</v>
      </c>
      <c r="J18" s="2">
        <v>1</v>
      </c>
      <c r="K18" s="58">
        <v>100</v>
      </c>
      <c r="L18" s="58">
        <v>4</v>
      </c>
      <c r="M18" s="58">
        <v>1</v>
      </c>
      <c r="N18" s="58">
        <v>1</v>
      </c>
    </row>
    <row r="19" spans="1:14" x14ac:dyDescent="0.2">
      <c r="A19" s="58" t="s">
        <v>49</v>
      </c>
      <c r="B19" s="58">
        <v>1281</v>
      </c>
      <c r="C19" s="58" t="s">
        <v>56</v>
      </c>
      <c r="D19" s="58">
        <v>18</v>
      </c>
      <c r="E19" s="58">
        <v>22</v>
      </c>
      <c r="F19" s="58">
        <v>40</v>
      </c>
      <c r="G19" s="58">
        <v>40</v>
      </c>
      <c r="H19" s="58" t="s">
        <v>53</v>
      </c>
      <c r="I19" s="58">
        <v>100</v>
      </c>
      <c r="J19" s="2">
        <v>1</v>
      </c>
      <c r="K19" s="58">
        <v>100</v>
      </c>
      <c r="L19" s="58">
        <v>4</v>
      </c>
      <c r="M19" s="58">
        <v>1</v>
      </c>
      <c r="N19" s="58">
        <v>1</v>
      </c>
    </row>
    <row r="20" spans="1:14" x14ac:dyDescent="0.2">
      <c r="A20" s="58" t="s">
        <v>49</v>
      </c>
      <c r="B20" s="58">
        <v>1328</v>
      </c>
      <c r="C20" s="58" t="s">
        <v>56</v>
      </c>
      <c r="D20" s="58">
        <v>81</v>
      </c>
      <c r="E20" s="58">
        <v>0</v>
      </c>
      <c r="F20" s="58">
        <v>81</v>
      </c>
      <c r="G20" s="58">
        <v>81</v>
      </c>
      <c r="H20" s="58" t="s">
        <v>53</v>
      </c>
      <c r="I20" s="58">
        <v>100</v>
      </c>
      <c r="J20" s="2">
        <v>1</v>
      </c>
      <c r="K20" s="58">
        <v>100</v>
      </c>
      <c r="L20" s="58">
        <v>4</v>
      </c>
      <c r="M20" s="58">
        <v>1</v>
      </c>
      <c r="N20" s="58">
        <v>1</v>
      </c>
    </row>
    <row r="21" spans="1:14" x14ac:dyDescent="0.2">
      <c r="A21" s="58" t="s">
        <v>49</v>
      </c>
      <c r="B21" s="58">
        <v>1342</v>
      </c>
      <c r="C21" s="58" t="s">
        <v>56</v>
      </c>
      <c r="D21" s="58">
        <v>6</v>
      </c>
      <c r="E21" s="58">
        <v>39</v>
      </c>
      <c r="F21" s="58">
        <v>45</v>
      </c>
      <c r="G21" s="58">
        <v>45</v>
      </c>
      <c r="H21" s="58" t="s">
        <v>53</v>
      </c>
      <c r="I21" s="58">
        <v>100</v>
      </c>
      <c r="J21" s="2">
        <v>1</v>
      </c>
      <c r="K21" s="58">
        <v>100</v>
      </c>
      <c r="L21" s="58">
        <v>4</v>
      </c>
      <c r="M21" s="58">
        <v>1</v>
      </c>
      <c r="N21" s="58">
        <v>1</v>
      </c>
    </row>
    <row r="22" spans="1:14" x14ac:dyDescent="0.2">
      <c r="A22" s="58" t="s">
        <v>49</v>
      </c>
      <c r="B22" s="58">
        <v>1455</v>
      </c>
      <c r="C22" s="58" t="s">
        <v>56</v>
      </c>
      <c r="D22" s="58">
        <v>16</v>
      </c>
      <c r="E22" s="58">
        <v>7</v>
      </c>
      <c r="F22" s="58">
        <v>23</v>
      </c>
      <c r="G22" s="58">
        <v>23</v>
      </c>
      <c r="H22" s="58" t="s">
        <v>53</v>
      </c>
      <c r="I22" s="58">
        <v>100</v>
      </c>
      <c r="J22" s="2">
        <v>1</v>
      </c>
      <c r="K22" s="58">
        <v>100</v>
      </c>
      <c r="L22" s="58">
        <v>4</v>
      </c>
      <c r="M22" s="58">
        <v>1</v>
      </c>
      <c r="N22" s="58">
        <v>1</v>
      </c>
    </row>
    <row r="23" spans="1:14" x14ac:dyDescent="0.2">
      <c r="A23" s="58" t="s">
        <v>49</v>
      </c>
      <c r="B23" s="58">
        <v>1401</v>
      </c>
      <c r="C23" s="58" t="s">
        <v>56</v>
      </c>
      <c r="D23" s="58">
        <v>16</v>
      </c>
      <c r="E23" s="58">
        <v>51</v>
      </c>
      <c r="F23" s="58">
        <v>67</v>
      </c>
      <c r="G23" s="58">
        <v>39</v>
      </c>
      <c r="H23" s="58" t="s">
        <v>53</v>
      </c>
      <c r="I23" s="58">
        <v>171.7948717948718</v>
      </c>
      <c r="J23" s="2">
        <v>1</v>
      </c>
      <c r="K23" s="58">
        <v>100</v>
      </c>
      <c r="L23" s="58">
        <v>4</v>
      </c>
      <c r="M23" s="58">
        <v>1</v>
      </c>
      <c r="N23" s="58">
        <v>1</v>
      </c>
    </row>
    <row r="24" spans="1:14" x14ac:dyDescent="0.2">
      <c r="A24" s="58" t="s">
        <v>49</v>
      </c>
      <c r="B24" s="58">
        <v>1497</v>
      </c>
      <c r="C24" s="58" t="s">
        <v>56</v>
      </c>
      <c r="D24" s="58">
        <v>29</v>
      </c>
      <c r="E24" s="58">
        <v>0</v>
      </c>
      <c r="F24" s="58">
        <v>29</v>
      </c>
      <c r="G24" s="58">
        <v>29</v>
      </c>
      <c r="H24" s="58" t="s">
        <v>53</v>
      </c>
      <c r="I24" s="58">
        <v>100</v>
      </c>
      <c r="J24" s="2">
        <v>1</v>
      </c>
      <c r="K24" s="58">
        <v>100</v>
      </c>
      <c r="L24" s="58">
        <v>4</v>
      </c>
      <c r="M24" s="58">
        <v>1</v>
      </c>
      <c r="N24" s="58">
        <v>1</v>
      </c>
    </row>
    <row r="25" spans="1:14" x14ac:dyDescent="0.2">
      <c r="A25" s="58" t="s">
        <v>48</v>
      </c>
      <c r="B25" s="58">
        <v>199</v>
      </c>
      <c r="C25" s="58" t="s">
        <v>56</v>
      </c>
      <c r="D25" s="54">
        <v>30</v>
      </c>
      <c r="E25" s="54">
        <v>46</v>
      </c>
      <c r="F25" s="58">
        <v>76</v>
      </c>
      <c r="G25" s="58">
        <v>154</v>
      </c>
      <c r="H25" s="58" t="s">
        <v>54</v>
      </c>
      <c r="I25" s="58">
        <v>49.350649350649348</v>
      </c>
      <c r="J25" s="1" t="s">
        <v>6</v>
      </c>
      <c r="K25" s="58">
        <v>49.350649350649348</v>
      </c>
      <c r="L25" s="1">
        <v>1</v>
      </c>
      <c r="M25" s="58">
        <v>2</v>
      </c>
      <c r="N25" s="58">
        <v>1</v>
      </c>
    </row>
    <row r="26" spans="1:14" x14ac:dyDescent="0.2">
      <c r="A26" s="58" t="s">
        <v>48</v>
      </c>
      <c r="B26" s="58">
        <v>272</v>
      </c>
      <c r="C26" s="58" t="s">
        <v>56</v>
      </c>
      <c r="D26" s="54">
        <v>79</v>
      </c>
      <c r="E26" s="54">
        <v>0</v>
      </c>
      <c r="F26" s="58">
        <v>79</v>
      </c>
      <c r="G26" s="58">
        <v>287</v>
      </c>
      <c r="H26" s="58" t="s">
        <v>54</v>
      </c>
      <c r="I26" s="58">
        <v>27.526132404181187</v>
      </c>
      <c r="J26" s="1" t="s">
        <v>6</v>
      </c>
      <c r="K26" s="58">
        <v>27.526132404181187</v>
      </c>
      <c r="L26" s="1">
        <v>1</v>
      </c>
      <c r="M26" s="58">
        <v>2</v>
      </c>
      <c r="N26" s="58">
        <v>1</v>
      </c>
    </row>
    <row r="27" spans="1:14" x14ac:dyDescent="0.2">
      <c r="A27" s="56" t="s">
        <v>48</v>
      </c>
      <c r="B27" s="56">
        <v>636</v>
      </c>
      <c r="C27" s="58" t="s">
        <v>56</v>
      </c>
      <c r="D27" s="54">
        <v>0</v>
      </c>
      <c r="E27" s="54">
        <v>105</v>
      </c>
      <c r="F27" s="56">
        <v>105</v>
      </c>
      <c r="G27" s="56">
        <v>210</v>
      </c>
      <c r="H27" s="58" t="s">
        <v>54</v>
      </c>
      <c r="I27" s="56">
        <v>50</v>
      </c>
      <c r="J27" s="1" t="s">
        <v>6</v>
      </c>
      <c r="K27" s="56">
        <v>50</v>
      </c>
      <c r="L27" s="1">
        <v>1</v>
      </c>
      <c r="M27" s="58">
        <v>2</v>
      </c>
      <c r="N27" s="58">
        <v>1</v>
      </c>
    </row>
    <row r="28" spans="1:14" x14ac:dyDescent="0.2">
      <c r="A28" s="56" t="s">
        <v>48</v>
      </c>
      <c r="B28" s="56">
        <v>676</v>
      </c>
      <c r="C28" s="58" t="s">
        <v>56</v>
      </c>
      <c r="D28" s="56">
        <v>52</v>
      </c>
      <c r="E28" s="56">
        <v>22</v>
      </c>
      <c r="F28" s="56">
        <f>D28+E28</f>
        <v>74</v>
      </c>
      <c r="G28" s="56">
        <v>189</v>
      </c>
      <c r="H28" s="58" t="s">
        <v>54</v>
      </c>
      <c r="I28" s="56">
        <f>F28/G28*100</f>
        <v>39.153439153439152</v>
      </c>
      <c r="J28" s="1" t="s">
        <v>6</v>
      </c>
      <c r="K28" s="56">
        <f>I28</f>
        <v>39.153439153439152</v>
      </c>
      <c r="L28" s="1">
        <v>1</v>
      </c>
      <c r="M28" s="58">
        <v>2</v>
      </c>
      <c r="N28" s="58">
        <v>1</v>
      </c>
    </row>
    <row r="29" spans="1:14" x14ac:dyDescent="0.2">
      <c r="A29" s="56" t="s">
        <v>48</v>
      </c>
      <c r="B29" s="56">
        <v>617</v>
      </c>
      <c r="C29" s="58" t="s">
        <v>56</v>
      </c>
      <c r="D29" s="54">
        <v>0</v>
      </c>
      <c r="E29" s="54">
        <v>130</v>
      </c>
      <c r="F29" s="56">
        <v>130</v>
      </c>
      <c r="G29" s="56">
        <v>210</v>
      </c>
      <c r="H29" s="58" t="s">
        <v>54</v>
      </c>
      <c r="I29" s="56">
        <v>61.904761904761905</v>
      </c>
      <c r="J29" s="1" t="s">
        <v>7</v>
      </c>
      <c r="K29" s="56">
        <v>61.904761904761905</v>
      </c>
      <c r="L29" s="58">
        <v>2</v>
      </c>
      <c r="M29" s="58">
        <v>2</v>
      </c>
      <c r="N29" s="58">
        <v>1</v>
      </c>
    </row>
    <row r="30" spans="1:14" x14ac:dyDescent="0.2">
      <c r="A30" s="56" t="s">
        <v>48</v>
      </c>
      <c r="B30" s="56">
        <v>668</v>
      </c>
      <c r="C30" s="58" t="s">
        <v>56</v>
      </c>
      <c r="D30" s="54">
        <v>110</v>
      </c>
      <c r="E30" s="54">
        <v>40</v>
      </c>
      <c r="F30" s="56">
        <v>150</v>
      </c>
      <c r="G30" s="56">
        <v>210</v>
      </c>
      <c r="H30" s="58" t="s">
        <v>54</v>
      </c>
      <c r="I30" s="56">
        <v>71.428571428571431</v>
      </c>
      <c r="J30" s="1" t="s">
        <v>7</v>
      </c>
      <c r="K30" s="56">
        <v>71.428571428571431</v>
      </c>
      <c r="L30" s="58">
        <v>2</v>
      </c>
      <c r="M30" s="58">
        <v>2</v>
      </c>
      <c r="N30" s="58">
        <v>1</v>
      </c>
    </row>
    <row r="31" spans="1:14" x14ac:dyDescent="0.2">
      <c r="A31" s="56" t="s">
        <v>48</v>
      </c>
      <c r="B31" s="56">
        <v>835</v>
      </c>
      <c r="C31" s="58" t="s">
        <v>56</v>
      </c>
      <c r="D31" s="56">
        <v>101</v>
      </c>
      <c r="E31" s="56">
        <v>47</v>
      </c>
      <c r="F31" s="56">
        <f>D31+E31</f>
        <v>148</v>
      </c>
      <c r="G31" s="56">
        <v>217</v>
      </c>
      <c r="H31" s="58" t="s">
        <v>54</v>
      </c>
      <c r="I31" s="56">
        <v>68.663594470046093</v>
      </c>
      <c r="J31" s="1" t="s">
        <v>7</v>
      </c>
      <c r="K31" s="56">
        <f>I31</f>
        <v>68.663594470046093</v>
      </c>
      <c r="L31" s="58">
        <v>2</v>
      </c>
      <c r="M31" s="58">
        <v>2</v>
      </c>
      <c r="N31" s="58">
        <v>1</v>
      </c>
    </row>
    <row r="32" spans="1:14" x14ac:dyDescent="0.2">
      <c r="A32" s="56" t="s">
        <v>48</v>
      </c>
      <c r="B32" s="56">
        <v>1045</v>
      </c>
      <c r="C32" s="58" t="s">
        <v>56</v>
      </c>
      <c r="D32" s="56">
        <v>56</v>
      </c>
      <c r="E32" s="56">
        <v>88</v>
      </c>
      <c r="F32" s="56">
        <f>E32+D32</f>
        <v>144</v>
      </c>
      <c r="G32" s="56">
        <v>200</v>
      </c>
      <c r="H32" s="58" t="s">
        <v>54</v>
      </c>
      <c r="I32" s="56">
        <f>F32/G32*100</f>
        <v>72</v>
      </c>
      <c r="J32" s="1" t="s">
        <v>7</v>
      </c>
      <c r="K32" s="56">
        <f>I32</f>
        <v>72</v>
      </c>
      <c r="L32" s="58">
        <v>2</v>
      </c>
      <c r="M32" s="58">
        <v>2</v>
      </c>
      <c r="N32" s="58">
        <v>1</v>
      </c>
    </row>
    <row r="33" spans="1:14" x14ac:dyDescent="0.2">
      <c r="A33" s="56" t="s">
        <v>48</v>
      </c>
      <c r="B33" s="56">
        <v>1425</v>
      </c>
      <c r="C33" s="58" t="s">
        <v>56</v>
      </c>
      <c r="D33" s="56">
        <v>125</v>
      </c>
      <c r="E33" s="56">
        <v>0</v>
      </c>
      <c r="F33" s="56">
        <f>E33+D33</f>
        <v>125</v>
      </c>
      <c r="G33" s="56">
        <v>200</v>
      </c>
      <c r="H33" s="58" t="s">
        <v>54</v>
      </c>
      <c r="I33" s="56">
        <f>F33/G33*100</f>
        <v>62.5</v>
      </c>
      <c r="J33" s="1" t="s">
        <v>7</v>
      </c>
      <c r="K33" s="56">
        <f>I33</f>
        <v>62.5</v>
      </c>
      <c r="L33" s="58">
        <v>2</v>
      </c>
      <c r="M33" s="58">
        <v>2</v>
      </c>
      <c r="N33" s="58">
        <v>1</v>
      </c>
    </row>
    <row r="34" spans="1:14" x14ac:dyDescent="0.2">
      <c r="A34" s="56" t="s">
        <v>48</v>
      </c>
      <c r="B34" s="56">
        <v>1426</v>
      </c>
      <c r="C34" s="58" t="s">
        <v>56</v>
      </c>
      <c r="D34" s="56">
        <v>126</v>
      </c>
      <c r="E34" s="56">
        <v>0</v>
      </c>
      <c r="F34" s="56">
        <f>E34+D34</f>
        <v>126</v>
      </c>
      <c r="G34" s="56">
        <v>200</v>
      </c>
      <c r="H34" s="58" t="s">
        <v>54</v>
      </c>
      <c r="I34" s="56">
        <f>F34/G34*100</f>
        <v>63</v>
      </c>
      <c r="J34" s="1" t="s">
        <v>7</v>
      </c>
      <c r="K34" s="56">
        <f>I34</f>
        <v>63</v>
      </c>
      <c r="L34" s="58">
        <v>2</v>
      </c>
      <c r="M34" s="58">
        <v>2</v>
      </c>
      <c r="N34" s="58">
        <v>1</v>
      </c>
    </row>
    <row r="35" spans="1:14" x14ac:dyDescent="0.2">
      <c r="A35" s="58" t="s">
        <v>49</v>
      </c>
      <c r="B35" s="58">
        <v>1281</v>
      </c>
      <c r="C35" s="58" t="s">
        <v>56</v>
      </c>
      <c r="D35" s="58">
        <v>68</v>
      </c>
      <c r="E35" s="58">
        <v>21</v>
      </c>
      <c r="F35" s="58">
        <v>89</v>
      </c>
      <c r="G35" s="58">
        <v>153</v>
      </c>
      <c r="H35" s="58" t="s">
        <v>54</v>
      </c>
      <c r="I35" s="58">
        <v>58.169934640522882</v>
      </c>
      <c r="J35" s="1" t="s">
        <v>7</v>
      </c>
      <c r="K35" s="58">
        <v>58.169934640522882</v>
      </c>
      <c r="L35" s="58">
        <v>2</v>
      </c>
      <c r="M35" s="58">
        <v>2</v>
      </c>
      <c r="N35" s="58">
        <v>1</v>
      </c>
    </row>
    <row r="36" spans="1:14" x14ac:dyDescent="0.2">
      <c r="A36" s="58" t="s">
        <v>49</v>
      </c>
      <c r="B36" s="58">
        <v>1434</v>
      </c>
      <c r="C36" s="58" t="s">
        <v>56</v>
      </c>
      <c r="D36" s="58">
        <v>25</v>
      </c>
      <c r="E36" s="58">
        <v>121</v>
      </c>
      <c r="F36" s="58">
        <v>146</v>
      </c>
      <c r="G36" s="58">
        <v>168</v>
      </c>
      <c r="H36" s="58" t="s">
        <v>54</v>
      </c>
      <c r="I36" s="58">
        <v>86.904761904761912</v>
      </c>
      <c r="J36" s="1" t="s">
        <v>8</v>
      </c>
      <c r="K36" s="58">
        <v>86.904761904761912</v>
      </c>
      <c r="L36" s="58">
        <v>3</v>
      </c>
      <c r="M36" s="58">
        <v>2</v>
      </c>
      <c r="N36" s="58">
        <v>1</v>
      </c>
    </row>
    <row r="37" spans="1:14" x14ac:dyDescent="0.2">
      <c r="A37" s="56" t="s">
        <v>48</v>
      </c>
      <c r="B37" s="56">
        <v>752</v>
      </c>
      <c r="C37" s="58" t="s">
        <v>56</v>
      </c>
      <c r="D37" s="56">
        <v>0</v>
      </c>
      <c r="E37" s="56">
        <v>168</v>
      </c>
      <c r="F37" s="56">
        <v>168</v>
      </c>
      <c r="G37" s="56">
        <v>168</v>
      </c>
      <c r="H37" s="58" t="s">
        <v>54</v>
      </c>
      <c r="I37" s="56">
        <v>100</v>
      </c>
      <c r="J37" s="2">
        <v>1</v>
      </c>
      <c r="K37" s="56">
        <f>I37</f>
        <v>100</v>
      </c>
      <c r="L37" s="58">
        <v>4</v>
      </c>
      <c r="M37" s="58">
        <v>2</v>
      </c>
      <c r="N37" s="58">
        <v>1</v>
      </c>
    </row>
    <row r="38" spans="1:14" x14ac:dyDescent="0.2">
      <c r="A38" s="56" t="s">
        <v>48</v>
      </c>
      <c r="B38" s="56">
        <v>816</v>
      </c>
      <c r="C38" s="58" t="s">
        <v>56</v>
      </c>
      <c r="D38" s="56">
        <v>96</v>
      </c>
      <c r="E38" s="56">
        <v>83</v>
      </c>
      <c r="F38" s="56">
        <f>D38+E38</f>
        <v>179</v>
      </c>
      <c r="G38" s="56">
        <v>154</v>
      </c>
      <c r="H38" s="58" t="s">
        <v>54</v>
      </c>
      <c r="I38" s="56">
        <f>F38/G38*100</f>
        <v>116.23376623376625</v>
      </c>
      <c r="J38" s="2">
        <v>1</v>
      </c>
      <c r="K38" s="56">
        <v>100</v>
      </c>
      <c r="L38" s="58">
        <v>4</v>
      </c>
      <c r="M38" s="58">
        <v>2</v>
      </c>
      <c r="N38" s="58">
        <v>1</v>
      </c>
    </row>
    <row r="39" spans="1:14" s="59" customFormat="1" x14ac:dyDescent="0.2">
      <c r="A39" s="56" t="s">
        <v>48</v>
      </c>
      <c r="B39" s="56">
        <v>1295</v>
      </c>
      <c r="C39" s="56" t="s">
        <v>56</v>
      </c>
      <c r="D39" s="56">
        <v>67</v>
      </c>
      <c r="E39" s="56">
        <v>128</v>
      </c>
      <c r="F39" s="56">
        <f>E39+D39</f>
        <v>195</v>
      </c>
      <c r="G39" s="56">
        <v>310</v>
      </c>
      <c r="H39" s="56" t="s">
        <v>55</v>
      </c>
      <c r="I39" s="56">
        <f>F39/G39*100</f>
        <v>62.903225806451616</v>
      </c>
      <c r="J39" s="1" t="s">
        <v>7</v>
      </c>
      <c r="K39" s="56">
        <f>I39</f>
        <v>62.903225806451616</v>
      </c>
      <c r="L39" s="56">
        <v>2</v>
      </c>
      <c r="M39" s="56">
        <v>3</v>
      </c>
      <c r="N39" s="56">
        <v>1</v>
      </c>
    </row>
    <row r="40" spans="1:14" x14ac:dyDescent="0.2">
      <c r="A40" s="56" t="s">
        <v>48</v>
      </c>
      <c r="B40" s="56">
        <v>1932</v>
      </c>
      <c r="C40" s="58" t="s">
        <v>57</v>
      </c>
      <c r="D40" s="56">
        <v>12</v>
      </c>
      <c r="E40" s="56">
        <v>0</v>
      </c>
      <c r="F40" s="56">
        <v>12</v>
      </c>
      <c r="G40" s="56">
        <v>36</v>
      </c>
      <c r="H40" s="58" t="s">
        <v>53</v>
      </c>
      <c r="I40" s="56">
        <v>33</v>
      </c>
      <c r="J40" s="1" t="s">
        <v>6</v>
      </c>
      <c r="K40" s="56">
        <v>33</v>
      </c>
      <c r="L40" s="1">
        <v>1</v>
      </c>
      <c r="M40" s="58">
        <v>1</v>
      </c>
      <c r="N40" s="58">
        <v>2</v>
      </c>
    </row>
    <row r="41" spans="1:14" x14ac:dyDescent="0.2">
      <c r="A41" s="56" t="s">
        <v>48</v>
      </c>
      <c r="B41" s="56">
        <v>2137</v>
      </c>
      <c r="C41" s="58" t="s">
        <v>57</v>
      </c>
      <c r="D41" s="56">
        <v>53</v>
      </c>
      <c r="E41" s="56">
        <v>0</v>
      </c>
      <c r="F41" s="56">
        <f>E41+D41</f>
        <v>53</v>
      </c>
      <c r="G41" s="56">
        <v>110</v>
      </c>
      <c r="H41" s="58" t="s">
        <v>53</v>
      </c>
      <c r="I41" s="56">
        <f>F41/G41*100</f>
        <v>48.18181818181818</v>
      </c>
      <c r="J41" s="1" t="s">
        <v>6</v>
      </c>
      <c r="K41" s="56">
        <f>I41</f>
        <v>48.18181818181818</v>
      </c>
      <c r="L41" s="1">
        <v>1</v>
      </c>
      <c r="M41" s="58">
        <v>1</v>
      </c>
      <c r="N41" s="58">
        <v>2</v>
      </c>
    </row>
    <row r="42" spans="1:14" x14ac:dyDescent="0.2">
      <c r="A42" s="58" t="s">
        <v>49</v>
      </c>
      <c r="B42" s="58">
        <v>2450</v>
      </c>
      <c r="C42" s="58" t="s">
        <v>57</v>
      </c>
      <c r="D42" s="58">
        <v>46</v>
      </c>
      <c r="E42" s="58">
        <v>0</v>
      </c>
      <c r="F42" s="58">
        <v>46</v>
      </c>
      <c r="G42" s="58">
        <v>100</v>
      </c>
      <c r="H42" s="58" t="s">
        <v>53</v>
      </c>
      <c r="I42" s="58">
        <v>46</v>
      </c>
      <c r="J42" s="1" t="s">
        <v>6</v>
      </c>
      <c r="K42" s="58">
        <v>46</v>
      </c>
      <c r="L42" s="1">
        <v>1</v>
      </c>
      <c r="M42" s="58">
        <v>1</v>
      </c>
      <c r="N42" s="58">
        <v>2</v>
      </c>
    </row>
    <row r="43" spans="1:14" x14ac:dyDescent="0.2">
      <c r="A43" s="58" t="s">
        <v>49</v>
      </c>
      <c r="B43" s="58">
        <v>2465</v>
      </c>
      <c r="C43" s="58" t="s">
        <v>57</v>
      </c>
      <c r="D43" s="58">
        <v>17</v>
      </c>
      <c r="E43" s="58">
        <v>42</v>
      </c>
      <c r="F43" s="58">
        <v>59</v>
      </c>
      <c r="G43" s="58">
        <v>127</v>
      </c>
      <c r="H43" s="58" t="s">
        <v>53</v>
      </c>
      <c r="I43" s="58">
        <v>46.45669291338583</v>
      </c>
      <c r="J43" s="1" t="s">
        <v>6</v>
      </c>
      <c r="K43" s="58">
        <v>46.45669291338583</v>
      </c>
      <c r="L43" s="1">
        <v>1</v>
      </c>
      <c r="M43" s="58">
        <v>1</v>
      </c>
      <c r="N43" s="58">
        <v>2</v>
      </c>
    </row>
    <row r="44" spans="1:14" x14ac:dyDescent="0.2">
      <c r="A44" s="58" t="s">
        <v>49</v>
      </c>
      <c r="B44" s="58">
        <v>2490</v>
      </c>
      <c r="C44" s="58" t="s">
        <v>57</v>
      </c>
      <c r="D44" s="58">
        <v>34</v>
      </c>
      <c r="E44" s="58">
        <v>34</v>
      </c>
      <c r="F44" s="58">
        <v>68</v>
      </c>
      <c r="G44" s="58">
        <v>145</v>
      </c>
      <c r="H44" s="58" t="s">
        <v>53</v>
      </c>
      <c r="I44" s="58">
        <v>46.896551724137929</v>
      </c>
      <c r="J44" s="1" t="s">
        <v>6</v>
      </c>
      <c r="K44" s="58">
        <v>46.896551724137929</v>
      </c>
      <c r="L44" s="1">
        <v>1</v>
      </c>
      <c r="M44" s="58">
        <v>1</v>
      </c>
      <c r="N44" s="58">
        <v>2</v>
      </c>
    </row>
    <row r="45" spans="1:14" x14ac:dyDescent="0.2">
      <c r="A45" s="58" t="s">
        <v>49</v>
      </c>
      <c r="B45" s="58">
        <v>1961</v>
      </c>
      <c r="C45" s="58" t="s">
        <v>57</v>
      </c>
      <c r="D45" s="58">
        <v>20</v>
      </c>
      <c r="E45" s="58">
        <v>0</v>
      </c>
      <c r="F45" s="58">
        <v>20</v>
      </c>
      <c r="G45" s="58">
        <v>49</v>
      </c>
      <c r="H45" s="58" t="s">
        <v>53</v>
      </c>
      <c r="I45" s="58">
        <v>40.816326530612244</v>
      </c>
      <c r="J45" s="1" t="s">
        <v>6</v>
      </c>
      <c r="K45" s="58">
        <v>40.816326530612244</v>
      </c>
      <c r="L45" s="1">
        <v>1</v>
      </c>
      <c r="M45" s="58">
        <v>1</v>
      </c>
      <c r="N45" s="58">
        <v>2</v>
      </c>
    </row>
    <row r="46" spans="1:14" x14ac:dyDescent="0.2">
      <c r="A46" s="58" t="s">
        <v>48</v>
      </c>
      <c r="B46" s="58">
        <v>1924</v>
      </c>
      <c r="C46" s="58" t="s">
        <v>57</v>
      </c>
      <c r="D46" s="54">
        <v>75</v>
      </c>
      <c r="E46" s="54">
        <v>7</v>
      </c>
      <c r="F46" s="58">
        <v>82</v>
      </c>
      <c r="G46" s="58">
        <v>135</v>
      </c>
      <c r="H46" s="58" t="s">
        <v>53</v>
      </c>
      <c r="I46" s="58">
        <v>60.74074074074074</v>
      </c>
      <c r="J46" s="1" t="s">
        <v>7</v>
      </c>
      <c r="K46" s="58">
        <v>60.74074074074074</v>
      </c>
      <c r="L46" s="58">
        <v>2</v>
      </c>
      <c r="M46" s="58">
        <v>1</v>
      </c>
      <c r="N46" s="58">
        <v>2</v>
      </c>
    </row>
    <row r="47" spans="1:14" x14ac:dyDescent="0.2">
      <c r="A47" s="58" t="s">
        <v>49</v>
      </c>
      <c r="B47" s="58">
        <v>2411</v>
      </c>
      <c r="C47" s="58" t="s">
        <v>57</v>
      </c>
      <c r="D47" s="58">
        <v>40</v>
      </c>
      <c r="E47" s="58">
        <v>0</v>
      </c>
      <c r="F47" s="58">
        <v>40</v>
      </c>
      <c r="G47" s="58">
        <v>77</v>
      </c>
      <c r="H47" s="58" t="s">
        <v>53</v>
      </c>
      <c r="I47" s="58">
        <v>51.94805194805194</v>
      </c>
      <c r="J47" s="1" t="s">
        <v>7</v>
      </c>
      <c r="K47" s="58">
        <v>51.94805194805194</v>
      </c>
      <c r="L47" s="58">
        <v>2</v>
      </c>
      <c r="M47" s="58">
        <v>1</v>
      </c>
      <c r="N47" s="58">
        <v>2</v>
      </c>
    </row>
    <row r="48" spans="1:14" x14ac:dyDescent="0.2">
      <c r="A48" s="58" t="s">
        <v>49</v>
      </c>
      <c r="B48" s="58">
        <v>2442</v>
      </c>
      <c r="C48" s="58" t="s">
        <v>57</v>
      </c>
      <c r="D48" s="58">
        <v>32</v>
      </c>
      <c r="E48" s="58">
        <v>0</v>
      </c>
      <c r="F48" s="58">
        <v>32</v>
      </c>
      <c r="G48" s="58">
        <v>57</v>
      </c>
      <c r="H48" s="58" t="s">
        <v>53</v>
      </c>
      <c r="I48" s="58">
        <v>56.140350877192979</v>
      </c>
      <c r="J48" s="1" t="s">
        <v>7</v>
      </c>
      <c r="K48" s="58">
        <v>56.140350877192979</v>
      </c>
      <c r="L48" s="58">
        <v>2</v>
      </c>
      <c r="M48" s="58">
        <v>1</v>
      </c>
      <c r="N48" s="58">
        <v>2</v>
      </c>
    </row>
    <row r="49" spans="1:14" x14ac:dyDescent="0.2">
      <c r="A49" s="58" t="s">
        <v>49</v>
      </c>
      <c r="B49" s="58">
        <v>1863</v>
      </c>
      <c r="C49" s="58" t="s">
        <v>57</v>
      </c>
      <c r="D49" s="58">
        <v>0</v>
      </c>
      <c r="E49" s="58">
        <v>75</v>
      </c>
      <c r="F49" s="58">
        <v>75</v>
      </c>
      <c r="G49" s="58">
        <v>112</v>
      </c>
      <c r="H49" s="58" t="s">
        <v>53</v>
      </c>
      <c r="I49" s="58">
        <v>66.964285714285708</v>
      </c>
      <c r="J49" s="1" t="s">
        <v>7</v>
      </c>
      <c r="K49" s="58">
        <v>66.964285714285708</v>
      </c>
      <c r="L49" s="58">
        <v>2</v>
      </c>
      <c r="M49" s="58">
        <v>1</v>
      </c>
      <c r="N49" s="58">
        <v>2</v>
      </c>
    </row>
    <row r="50" spans="1:14" x14ac:dyDescent="0.2">
      <c r="A50" s="58" t="s">
        <v>49</v>
      </c>
      <c r="B50" s="58">
        <v>1982</v>
      </c>
      <c r="C50" s="58" t="s">
        <v>57</v>
      </c>
      <c r="D50" s="58">
        <v>0</v>
      </c>
      <c r="E50" s="58">
        <v>26</v>
      </c>
      <c r="F50" s="58">
        <v>26</v>
      </c>
      <c r="G50" s="58">
        <v>49</v>
      </c>
      <c r="H50" s="58" t="s">
        <v>53</v>
      </c>
      <c r="I50" s="58">
        <v>53.061224489795919</v>
      </c>
      <c r="J50" s="1" t="s">
        <v>7</v>
      </c>
      <c r="K50" s="58">
        <v>53.061224489795919</v>
      </c>
      <c r="L50" s="58">
        <v>2</v>
      </c>
      <c r="M50" s="58">
        <v>1</v>
      </c>
      <c r="N50" s="58">
        <v>2</v>
      </c>
    </row>
    <row r="51" spans="1:14" x14ac:dyDescent="0.2">
      <c r="A51" s="58" t="s">
        <v>49</v>
      </c>
      <c r="B51" s="58">
        <v>2234</v>
      </c>
      <c r="C51" s="58" t="s">
        <v>57</v>
      </c>
      <c r="D51" s="58">
        <v>64</v>
      </c>
      <c r="E51" s="58">
        <v>17</v>
      </c>
      <c r="F51" s="58">
        <v>81</v>
      </c>
      <c r="G51" s="58">
        <v>112</v>
      </c>
      <c r="H51" s="58" t="s">
        <v>53</v>
      </c>
      <c r="I51" s="58">
        <v>72.321428571428569</v>
      </c>
      <c r="J51" s="1" t="s">
        <v>7</v>
      </c>
      <c r="K51" s="58">
        <v>72.321428571428569</v>
      </c>
      <c r="L51" s="58">
        <v>2</v>
      </c>
      <c r="M51" s="58">
        <v>1</v>
      </c>
      <c r="N51" s="58">
        <v>2</v>
      </c>
    </row>
    <row r="52" spans="1:14" x14ac:dyDescent="0.2">
      <c r="A52" s="58" t="s">
        <v>49</v>
      </c>
      <c r="B52" s="58">
        <v>2315</v>
      </c>
      <c r="C52" s="58" t="s">
        <v>57</v>
      </c>
      <c r="D52" s="58">
        <v>0</v>
      </c>
      <c r="E52" s="58">
        <v>25</v>
      </c>
      <c r="F52" s="58">
        <v>25</v>
      </c>
      <c r="G52" s="58">
        <v>48</v>
      </c>
      <c r="H52" s="58" t="s">
        <v>53</v>
      </c>
      <c r="I52" s="58">
        <v>52.083333333333336</v>
      </c>
      <c r="J52" s="1" t="s">
        <v>7</v>
      </c>
      <c r="K52" s="58">
        <v>52.083333333333336</v>
      </c>
      <c r="L52" s="58">
        <v>2</v>
      </c>
      <c r="M52" s="58">
        <v>1</v>
      </c>
      <c r="N52" s="58">
        <v>2</v>
      </c>
    </row>
    <row r="53" spans="1:14" x14ac:dyDescent="0.2">
      <c r="A53" s="58" t="s">
        <v>49</v>
      </c>
      <c r="B53" s="58">
        <v>2375</v>
      </c>
      <c r="C53" s="58" t="s">
        <v>57</v>
      </c>
      <c r="D53" s="58">
        <v>0</v>
      </c>
      <c r="E53" s="58">
        <v>25</v>
      </c>
      <c r="F53" s="58">
        <v>25</v>
      </c>
      <c r="G53" s="58">
        <v>49</v>
      </c>
      <c r="H53" s="58" t="s">
        <v>53</v>
      </c>
      <c r="I53" s="58">
        <v>51.020408163265309</v>
      </c>
      <c r="J53" s="1" t="s">
        <v>7</v>
      </c>
      <c r="K53" s="58">
        <v>51.020408163265309</v>
      </c>
      <c r="L53" s="58">
        <v>2</v>
      </c>
      <c r="M53" s="58">
        <v>1</v>
      </c>
      <c r="N53" s="58">
        <v>2</v>
      </c>
    </row>
    <row r="54" spans="1:14" x14ac:dyDescent="0.2">
      <c r="A54" s="58" t="s">
        <v>49</v>
      </c>
      <c r="B54" s="58">
        <v>2483</v>
      </c>
      <c r="C54" s="58" t="s">
        <v>57</v>
      </c>
      <c r="D54" s="58">
        <v>0</v>
      </c>
      <c r="E54" s="58">
        <v>35</v>
      </c>
      <c r="F54" s="58">
        <v>35</v>
      </c>
      <c r="G54" s="58">
        <v>55</v>
      </c>
      <c r="H54" s="58" t="s">
        <v>53</v>
      </c>
      <c r="I54" s="58">
        <v>63.636363636363633</v>
      </c>
      <c r="J54" s="1" t="s">
        <v>7</v>
      </c>
      <c r="K54" s="58">
        <v>63.636363636363633</v>
      </c>
      <c r="L54" s="58">
        <v>2</v>
      </c>
      <c r="M54" s="58">
        <v>1</v>
      </c>
      <c r="N54" s="58">
        <v>2</v>
      </c>
    </row>
    <row r="55" spans="1:14" x14ac:dyDescent="0.2">
      <c r="A55" s="58" t="s">
        <v>49</v>
      </c>
      <c r="B55" s="58">
        <v>2802</v>
      </c>
      <c r="C55" s="58" t="s">
        <v>57</v>
      </c>
      <c r="D55" s="58">
        <v>31</v>
      </c>
      <c r="E55" s="58">
        <v>0</v>
      </c>
      <c r="F55" s="58">
        <v>31</v>
      </c>
      <c r="G55" s="58">
        <v>55</v>
      </c>
      <c r="H55" s="58" t="s">
        <v>53</v>
      </c>
      <c r="I55" s="58">
        <v>56.36363636363636</v>
      </c>
      <c r="J55" s="1" t="s">
        <v>7</v>
      </c>
      <c r="K55" s="58">
        <v>56.36363636363636</v>
      </c>
      <c r="L55" s="58">
        <v>2</v>
      </c>
      <c r="M55" s="58">
        <v>1</v>
      </c>
      <c r="N55" s="58">
        <v>2</v>
      </c>
    </row>
    <row r="56" spans="1:14" x14ac:dyDescent="0.2">
      <c r="A56" s="58" t="s">
        <v>49</v>
      </c>
      <c r="B56" s="58">
        <v>2872</v>
      </c>
      <c r="C56" s="58" t="s">
        <v>57</v>
      </c>
      <c r="D56" s="58">
        <v>0</v>
      </c>
      <c r="E56" s="58">
        <v>46</v>
      </c>
      <c r="F56" s="58">
        <v>46</v>
      </c>
      <c r="G56" s="58">
        <v>81</v>
      </c>
      <c r="H56" s="58" t="s">
        <v>53</v>
      </c>
      <c r="I56" s="58">
        <v>56.79012345679012</v>
      </c>
      <c r="J56" s="1" t="s">
        <v>7</v>
      </c>
      <c r="K56" s="58">
        <v>56.79012345679012</v>
      </c>
      <c r="L56" s="58">
        <v>2</v>
      </c>
      <c r="M56" s="58">
        <v>1</v>
      </c>
      <c r="N56" s="58">
        <v>2</v>
      </c>
    </row>
    <row r="57" spans="1:14" x14ac:dyDescent="0.2">
      <c r="A57" s="58" t="s">
        <v>49</v>
      </c>
      <c r="B57" s="58">
        <v>2443</v>
      </c>
      <c r="C57" s="58" t="s">
        <v>57</v>
      </c>
      <c r="D57" s="58">
        <v>15</v>
      </c>
      <c r="E57" s="58">
        <v>0</v>
      </c>
      <c r="F57" s="58">
        <v>15</v>
      </c>
      <c r="G57" s="58">
        <v>16</v>
      </c>
      <c r="H57" s="58" t="s">
        <v>53</v>
      </c>
      <c r="I57" s="58">
        <v>93.75</v>
      </c>
      <c r="J57" s="1" t="s">
        <v>8</v>
      </c>
      <c r="K57" s="58">
        <v>93.75</v>
      </c>
      <c r="L57" s="58">
        <v>3</v>
      </c>
      <c r="M57" s="58">
        <v>1</v>
      </c>
      <c r="N57" s="58">
        <v>2</v>
      </c>
    </row>
    <row r="58" spans="1:14" x14ac:dyDescent="0.2">
      <c r="A58" s="58" t="s">
        <v>49</v>
      </c>
      <c r="B58" s="58">
        <v>2103</v>
      </c>
      <c r="C58" s="58" t="s">
        <v>57</v>
      </c>
      <c r="D58" s="58">
        <v>0</v>
      </c>
      <c r="E58" s="58">
        <v>92</v>
      </c>
      <c r="F58" s="58">
        <v>92</v>
      </c>
      <c r="G58" s="58">
        <v>121</v>
      </c>
      <c r="H58" s="58" t="s">
        <v>53</v>
      </c>
      <c r="I58" s="58">
        <v>76.033057851239676</v>
      </c>
      <c r="J58" s="1" t="s">
        <v>8</v>
      </c>
      <c r="K58" s="58">
        <v>76.033057851239676</v>
      </c>
      <c r="L58" s="58">
        <v>3</v>
      </c>
      <c r="M58" s="58">
        <v>1</v>
      </c>
      <c r="N58" s="58">
        <v>2</v>
      </c>
    </row>
    <row r="59" spans="1:14" x14ac:dyDescent="0.2">
      <c r="A59" s="58" t="s">
        <v>49</v>
      </c>
      <c r="B59" s="58">
        <v>2491</v>
      </c>
      <c r="C59" s="58" t="s">
        <v>57</v>
      </c>
      <c r="D59" s="58">
        <v>0</v>
      </c>
      <c r="E59" s="58">
        <v>70</v>
      </c>
      <c r="F59" s="58">
        <v>70</v>
      </c>
      <c r="G59" s="58">
        <v>88</v>
      </c>
      <c r="H59" s="58" t="s">
        <v>53</v>
      </c>
      <c r="I59" s="58">
        <v>79.545454545454547</v>
      </c>
      <c r="J59" s="1" t="s">
        <v>8</v>
      </c>
      <c r="K59" s="58">
        <v>79.545454545454547</v>
      </c>
      <c r="L59" s="58">
        <v>3</v>
      </c>
      <c r="M59" s="58">
        <v>1</v>
      </c>
      <c r="N59" s="58">
        <v>2</v>
      </c>
    </row>
    <row r="60" spans="1:14" x14ac:dyDescent="0.2">
      <c r="A60" s="58" t="s">
        <v>49</v>
      </c>
      <c r="B60" s="58">
        <v>2630</v>
      </c>
      <c r="C60" s="58" t="s">
        <v>57</v>
      </c>
      <c r="D60" s="58">
        <v>81</v>
      </c>
      <c r="E60" s="58">
        <v>40</v>
      </c>
      <c r="F60" s="58">
        <v>121</v>
      </c>
      <c r="G60" s="58">
        <v>129</v>
      </c>
      <c r="H60" s="58" t="s">
        <v>53</v>
      </c>
      <c r="I60" s="58">
        <v>93.798449612403104</v>
      </c>
      <c r="J60" s="1" t="s">
        <v>8</v>
      </c>
      <c r="K60" s="58">
        <v>93.798449612403104</v>
      </c>
      <c r="L60" s="58">
        <v>3</v>
      </c>
      <c r="M60" s="58">
        <v>1</v>
      </c>
      <c r="N60" s="58">
        <v>2</v>
      </c>
    </row>
    <row r="61" spans="1:14" x14ac:dyDescent="0.2">
      <c r="A61" s="58" t="s">
        <v>49</v>
      </c>
      <c r="B61" s="58">
        <v>2804</v>
      </c>
      <c r="C61" s="58" t="s">
        <v>57</v>
      </c>
      <c r="D61" s="58">
        <v>0</v>
      </c>
      <c r="E61" s="58">
        <v>44</v>
      </c>
      <c r="F61" s="58">
        <v>44</v>
      </c>
      <c r="G61" s="58">
        <v>54</v>
      </c>
      <c r="H61" s="58" t="s">
        <v>53</v>
      </c>
      <c r="I61" s="58">
        <v>81.481481481481481</v>
      </c>
      <c r="J61" s="1" t="s">
        <v>8</v>
      </c>
      <c r="K61" s="58">
        <v>81.481481481481481</v>
      </c>
      <c r="L61" s="58">
        <v>3</v>
      </c>
      <c r="M61" s="58">
        <v>1</v>
      </c>
      <c r="N61" s="58">
        <v>2</v>
      </c>
    </row>
    <row r="62" spans="1:14" x14ac:dyDescent="0.2">
      <c r="A62" s="58" t="s">
        <v>49</v>
      </c>
      <c r="B62" s="58">
        <v>1515</v>
      </c>
      <c r="C62" s="58" t="s">
        <v>57</v>
      </c>
      <c r="D62" s="58">
        <v>0</v>
      </c>
      <c r="E62" s="58">
        <v>66</v>
      </c>
      <c r="F62" s="58">
        <v>66</v>
      </c>
      <c r="G62" s="58">
        <v>66</v>
      </c>
      <c r="H62" s="58" t="s">
        <v>53</v>
      </c>
      <c r="I62" s="58">
        <v>100</v>
      </c>
      <c r="J62" s="2">
        <v>1</v>
      </c>
      <c r="K62" s="58">
        <v>100</v>
      </c>
      <c r="L62" s="58">
        <v>4</v>
      </c>
      <c r="M62" s="58">
        <v>1</v>
      </c>
      <c r="N62" s="58">
        <v>2</v>
      </c>
    </row>
    <row r="63" spans="1:14" x14ac:dyDescent="0.2">
      <c r="A63" s="58" t="s">
        <v>49</v>
      </c>
      <c r="B63" s="58">
        <v>1693</v>
      </c>
      <c r="C63" s="58" t="s">
        <v>57</v>
      </c>
      <c r="D63" s="58">
        <v>52</v>
      </c>
      <c r="E63" s="58">
        <v>0</v>
      </c>
      <c r="F63" s="58">
        <v>52</v>
      </c>
      <c r="G63" s="58">
        <v>52</v>
      </c>
      <c r="H63" s="58" t="s">
        <v>53</v>
      </c>
      <c r="I63" s="58">
        <v>100</v>
      </c>
      <c r="J63" s="2">
        <v>1</v>
      </c>
      <c r="K63" s="58">
        <v>100</v>
      </c>
      <c r="L63" s="58">
        <v>4</v>
      </c>
      <c r="M63" s="58">
        <v>1</v>
      </c>
      <c r="N63" s="58">
        <v>2</v>
      </c>
    </row>
    <row r="64" spans="1:14" x14ac:dyDescent="0.2">
      <c r="A64" s="58" t="s">
        <v>49</v>
      </c>
      <c r="B64" s="58">
        <v>1747</v>
      </c>
      <c r="C64" s="58" t="s">
        <v>57</v>
      </c>
      <c r="D64" s="58">
        <v>18</v>
      </c>
      <c r="E64" s="58">
        <v>110</v>
      </c>
      <c r="F64" s="58">
        <v>128</v>
      </c>
      <c r="G64" s="58">
        <v>128</v>
      </c>
      <c r="H64" s="58" t="s">
        <v>53</v>
      </c>
      <c r="I64" s="58">
        <v>100</v>
      </c>
      <c r="J64" s="2">
        <v>1</v>
      </c>
      <c r="K64" s="58">
        <v>100</v>
      </c>
      <c r="L64" s="58">
        <v>4</v>
      </c>
      <c r="M64" s="58">
        <v>1</v>
      </c>
      <c r="N64" s="58">
        <v>2</v>
      </c>
    </row>
    <row r="65" spans="1:14" x14ac:dyDescent="0.2">
      <c r="A65" s="58" t="s">
        <v>49</v>
      </c>
      <c r="B65" s="58">
        <v>1798</v>
      </c>
      <c r="C65" s="58" t="s">
        <v>57</v>
      </c>
      <c r="D65" s="58">
        <v>80</v>
      </c>
      <c r="E65" s="58">
        <v>0</v>
      </c>
      <c r="F65" s="58">
        <v>80</v>
      </c>
      <c r="G65" s="58">
        <v>80</v>
      </c>
      <c r="H65" s="58" t="s">
        <v>53</v>
      </c>
      <c r="I65" s="58">
        <v>100</v>
      </c>
      <c r="J65" s="2">
        <v>1</v>
      </c>
      <c r="K65" s="58">
        <v>100</v>
      </c>
      <c r="L65" s="58">
        <v>4</v>
      </c>
      <c r="M65" s="58">
        <v>1</v>
      </c>
      <c r="N65" s="58">
        <v>2</v>
      </c>
    </row>
    <row r="66" spans="1:14" x14ac:dyDescent="0.2">
      <c r="A66" s="58" t="s">
        <v>49</v>
      </c>
      <c r="B66" s="58">
        <v>1814</v>
      </c>
      <c r="C66" s="58" t="s">
        <v>57</v>
      </c>
      <c r="D66" s="58">
        <v>80</v>
      </c>
      <c r="E66" s="58">
        <v>0</v>
      </c>
      <c r="F66" s="58">
        <v>80</v>
      </c>
      <c r="G66" s="58">
        <v>80</v>
      </c>
      <c r="H66" s="58" t="s">
        <v>53</v>
      </c>
      <c r="I66" s="58">
        <v>100</v>
      </c>
      <c r="J66" s="2">
        <v>1</v>
      </c>
      <c r="K66" s="58">
        <v>100</v>
      </c>
      <c r="L66" s="58">
        <v>4</v>
      </c>
      <c r="M66" s="58">
        <v>1</v>
      </c>
      <c r="N66" s="58">
        <v>2</v>
      </c>
    </row>
    <row r="67" spans="1:14" x14ac:dyDescent="0.2">
      <c r="A67" s="58" t="s">
        <v>49</v>
      </c>
      <c r="B67" s="58">
        <v>1814</v>
      </c>
      <c r="C67" s="58" t="s">
        <v>57</v>
      </c>
      <c r="D67" s="58">
        <v>80</v>
      </c>
      <c r="E67" s="58">
        <v>0</v>
      </c>
      <c r="F67" s="58">
        <v>80</v>
      </c>
      <c r="G67" s="58">
        <v>80</v>
      </c>
      <c r="H67" s="58" t="s">
        <v>53</v>
      </c>
      <c r="I67" s="58">
        <v>100</v>
      </c>
      <c r="J67" s="2">
        <v>1</v>
      </c>
      <c r="K67" s="58">
        <v>100</v>
      </c>
      <c r="L67" s="58">
        <v>4</v>
      </c>
      <c r="M67" s="58">
        <v>1</v>
      </c>
      <c r="N67" s="58">
        <v>2</v>
      </c>
    </row>
    <row r="68" spans="1:14" x14ac:dyDescent="0.2">
      <c r="A68" s="58" t="s">
        <v>49</v>
      </c>
      <c r="B68" s="58">
        <v>1855</v>
      </c>
      <c r="C68" s="58" t="s">
        <v>57</v>
      </c>
      <c r="D68" s="58">
        <v>85</v>
      </c>
      <c r="E68" s="58">
        <v>0</v>
      </c>
      <c r="F68" s="58">
        <v>85</v>
      </c>
      <c r="G68" s="58">
        <v>85</v>
      </c>
      <c r="H68" s="58" t="s">
        <v>53</v>
      </c>
      <c r="I68" s="58">
        <v>100</v>
      </c>
      <c r="J68" s="2">
        <v>1</v>
      </c>
      <c r="K68" s="58">
        <v>100</v>
      </c>
      <c r="L68" s="58">
        <v>4</v>
      </c>
      <c r="M68" s="58">
        <v>1</v>
      </c>
      <c r="N68" s="58">
        <v>2</v>
      </c>
    </row>
    <row r="69" spans="1:14" x14ac:dyDescent="0.2">
      <c r="A69" s="58" t="s">
        <v>49</v>
      </c>
      <c r="B69" s="58">
        <v>1985</v>
      </c>
      <c r="C69" s="58" t="s">
        <v>57</v>
      </c>
      <c r="D69" s="58">
        <v>60</v>
      </c>
      <c r="E69" s="58">
        <v>0</v>
      </c>
      <c r="F69" s="58">
        <v>60</v>
      </c>
      <c r="G69" s="58">
        <v>60</v>
      </c>
      <c r="H69" s="58" t="s">
        <v>53</v>
      </c>
      <c r="I69" s="58">
        <v>100</v>
      </c>
      <c r="J69" s="2">
        <v>1</v>
      </c>
      <c r="K69" s="58">
        <v>100</v>
      </c>
      <c r="L69" s="58">
        <v>4</v>
      </c>
      <c r="M69" s="58">
        <v>1</v>
      </c>
      <c r="N69" s="58">
        <v>2</v>
      </c>
    </row>
    <row r="70" spans="1:14" x14ac:dyDescent="0.2">
      <c r="A70" s="58" t="s">
        <v>49</v>
      </c>
      <c r="B70" s="58">
        <v>1987</v>
      </c>
      <c r="C70" s="58" t="s">
        <v>57</v>
      </c>
      <c r="D70" s="58">
        <v>0</v>
      </c>
      <c r="E70" s="58">
        <v>102</v>
      </c>
      <c r="F70" s="58">
        <v>102</v>
      </c>
      <c r="G70" s="58">
        <v>102</v>
      </c>
      <c r="H70" s="58" t="s">
        <v>53</v>
      </c>
      <c r="I70" s="58">
        <v>100</v>
      </c>
      <c r="J70" s="2">
        <v>1</v>
      </c>
      <c r="K70" s="58">
        <v>100</v>
      </c>
      <c r="L70" s="58">
        <v>4</v>
      </c>
      <c r="M70" s="58">
        <v>1</v>
      </c>
      <c r="N70" s="58">
        <v>2</v>
      </c>
    </row>
    <row r="71" spans="1:14" x14ac:dyDescent="0.2">
      <c r="A71" s="58" t="s">
        <v>49</v>
      </c>
      <c r="B71" s="58">
        <v>1994</v>
      </c>
      <c r="C71" s="58" t="s">
        <v>57</v>
      </c>
      <c r="D71" s="58">
        <v>0</v>
      </c>
      <c r="E71" s="58">
        <v>71</v>
      </c>
      <c r="F71" s="58">
        <v>71</v>
      </c>
      <c r="G71" s="58">
        <v>71</v>
      </c>
      <c r="H71" s="58" t="s">
        <v>53</v>
      </c>
      <c r="I71" s="58">
        <v>100</v>
      </c>
      <c r="J71" s="2">
        <v>1</v>
      </c>
      <c r="K71" s="58">
        <v>100</v>
      </c>
      <c r="L71" s="58">
        <v>4</v>
      </c>
      <c r="M71" s="58">
        <v>1</v>
      </c>
      <c r="N71" s="58">
        <v>2</v>
      </c>
    </row>
    <row r="72" spans="1:14" x14ac:dyDescent="0.2">
      <c r="A72" s="58" t="s">
        <v>49</v>
      </c>
      <c r="B72" s="58">
        <v>2091</v>
      </c>
      <c r="C72" s="58" t="s">
        <v>57</v>
      </c>
      <c r="D72" s="58">
        <v>98</v>
      </c>
      <c r="E72" s="58">
        <v>0</v>
      </c>
      <c r="F72" s="58">
        <v>98</v>
      </c>
      <c r="G72" s="58">
        <v>98</v>
      </c>
      <c r="H72" s="58" t="s">
        <v>53</v>
      </c>
      <c r="I72" s="58">
        <v>100</v>
      </c>
      <c r="J72" s="2">
        <v>1</v>
      </c>
      <c r="K72" s="58">
        <v>100</v>
      </c>
      <c r="L72" s="58">
        <v>4</v>
      </c>
      <c r="M72" s="58">
        <v>1</v>
      </c>
      <c r="N72" s="58">
        <v>2</v>
      </c>
    </row>
    <row r="73" spans="1:14" x14ac:dyDescent="0.2">
      <c r="A73" s="58" t="s">
        <v>49</v>
      </c>
      <c r="B73" s="58">
        <v>2269</v>
      </c>
      <c r="C73" s="58" t="s">
        <v>57</v>
      </c>
      <c r="D73" s="58">
        <v>70</v>
      </c>
      <c r="E73" s="58">
        <v>0</v>
      </c>
      <c r="F73" s="58">
        <v>70</v>
      </c>
      <c r="G73" s="58">
        <v>70</v>
      </c>
      <c r="H73" s="58" t="s">
        <v>53</v>
      </c>
      <c r="I73" s="58">
        <v>100</v>
      </c>
      <c r="J73" s="2">
        <v>1</v>
      </c>
      <c r="K73" s="58">
        <v>100</v>
      </c>
      <c r="L73" s="58">
        <v>4</v>
      </c>
      <c r="M73" s="58">
        <v>1</v>
      </c>
      <c r="N73" s="58">
        <v>2</v>
      </c>
    </row>
    <row r="74" spans="1:14" x14ac:dyDescent="0.2">
      <c r="A74" s="58" t="s">
        <v>49</v>
      </c>
      <c r="B74" s="58">
        <v>2283</v>
      </c>
      <c r="C74" s="58" t="s">
        <v>57</v>
      </c>
      <c r="D74" s="58">
        <v>26</v>
      </c>
      <c r="E74" s="58">
        <v>38</v>
      </c>
      <c r="F74" s="58">
        <v>64</v>
      </c>
      <c r="G74" s="58">
        <v>64</v>
      </c>
      <c r="H74" s="58" t="s">
        <v>53</v>
      </c>
      <c r="I74" s="58">
        <v>100</v>
      </c>
      <c r="J74" s="2">
        <v>1</v>
      </c>
      <c r="K74" s="58">
        <v>100</v>
      </c>
      <c r="L74" s="58">
        <v>4</v>
      </c>
      <c r="M74" s="58">
        <v>1</v>
      </c>
      <c r="N74" s="58">
        <v>2</v>
      </c>
    </row>
    <row r="75" spans="1:14" x14ac:dyDescent="0.2">
      <c r="A75" s="58" t="s">
        <v>49</v>
      </c>
      <c r="B75" s="58">
        <v>2303</v>
      </c>
      <c r="C75" s="58" t="s">
        <v>57</v>
      </c>
      <c r="D75" s="58">
        <v>16</v>
      </c>
      <c r="E75" s="58">
        <v>0</v>
      </c>
      <c r="F75" s="58">
        <v>16</v>
      </c>
      <c r="G75" s="58">
        <v>16</v>
      </c>
      <c r="H75" s="58" t="s">
        <v>53</v>
      </c>
      <c r="I75" s="58">
        <v>100</v>
      </c>
      <c r="J75" s="2">
        <v>1</v>
      </c>
      <c r="K75" s="58">
        <v>100</v>
      </c>
      <c r="L75" s="58">
        <v>4</v>
      </c>
      <c r="M75" s="58">
        <v>1</v>
      </c>
      <c r="N75" s="58">
        <v>2</v>
      </c>
    </row>
    <row r="76" spans="1:14" x14ac:dyDescent="0.2">
      <c r="A76" s="58" t="s">
        <v>49</v>
      </c>
      <c r="B76" s="58">
        <v>2385</v>
      </c>
      <c r="C76" s="58" t="s">
        <v>57</v>
      </c>
      <c r="D76" s="58">
        <v>55</v>
      </c>
      <c r="E76" s="58">
        <v>0</v>
      </c>
      <c r="F76" s="58">
        <v>55</v>
      </c>
      <c r="G76" s="58">
        <v>55</v>
      </c>
      <c r="H76" s="58" t="s">
        <v>53</v>
      </c>
      <c r="I76" s="58">
        <v>100</v>
      </c>
      <c r="J76" s="2">
        <v>1</v>
      </c>
      <c r="K76" s="58">
        <v>100</v>
      </c>
      <c r="L76" s="58">
        <v>4</v>
      </c>
      <c r="M76" s="58">
        <v>1</v>
      </c>
      <c r="N76" s="58">
        <v>2</v>
      </c>
    </row>
    <row r="77" spans="1:14" x14ac:dyDescent="0.2">
      <c r="A77" s="58" t="s">
        <v>49</v>
      </c>
      <c r="B77" s="58">
        <v>2408</v>
      </c>
      <c r="C77" s="58" t="s">
        <v>57</v>
      </c>
      <c r="D77" s="58">
        <v>0</v>
      </c>
      <c r="E77" s="58">
        <v>25</v>
      </c>
      <c r="F77" s="58">
        <v>25</v>
      </c>
      <c r="G77" s="58">
        <v>25</v>
      </c>
      <c r="H77" s="58" t="s">
        <v>53</v>
      </c>
      <c r="I77" s="58">
        <v>100</v>
      </c>
      <c r="J77" s="2">
        <v>1</v>
      </c>
      <c r="K77" s="58">
        <v>100</v>
      </c>
      <c r="L77" s="58">
        <v>4</v>
      </c>
      <c r="M77" s="58">
        <v>1</v>
      </c>
      <c r="N77" s="58">
        <v>2</v>
      </c>
    </row>
    <row r="78" spans="1:14" x14ac:dyDescent="0.2">
      <c r="A78" s="58" t="s">
        <v>49</v>
      </c>
      <c r="B78" s="58">
        <v>2596</v>
      </c>
      <c r="C78" s="58" t="s">
        <v>57</v>
      </c>
      <c r="D78" s="58">
        <v>22</v>
      </c>
      <c r="E78" s="58">
        <v>41</v>
      </c>
      <c r="F78" s="58">
        <v>63</v>
      </c>
      <c r="G78" s="58">
        <v>63</v>
      </c>
      <c r="H78" s="58" t="s">
        <v>53</v>
      </c>
      <c r="I78" s="58">
        <v>100</v>
      </c>
      <c r="J78" s="2">
        <v>1</v>
      </c>
      <c r="K78" s="58">
        <v>100</v>
      </c>
      <c r="L78" s="58">
        <v>4</v>
      </c>
      <c r="M78" s="58">
        <v>1</v>
      </c>
      <c r="N78" s="58">
        <v>2</v>
      </c>
    </row>
    <row r="79" spans="1:14" x14ac:dyDescent="0.2">
      <c r="A79" s="58" t="s">
        <v>49</v>
      </c>
      <c r="B79" s="58">
        <v>2696</v>
      </c>
      <c r="C79" s="58" t="s">
        <v>57</v>
      </c>
      <c r="D79" s="58">
        <v>43</v>
      </c>
      <c r="E79" s="58">
        <v>12</v>
      </c>
      <c r="F79" s="58">
        <v>55</v>
      </c>
      <c r="G79" s="58">
        <v>55</v>
      </c>
      <c r="H79" s="58" t="s">
        <v>53</v>
      </c>
      <c r="I79" s="58">
        <v>100</v>
      </c>
      <c r="J79" s="2">
        <v>1</v>
      </c>
      <c r="K79" s="58">
        <v>100</v>
      </c>
      <c r="L79" s="58">
        <v>4</v>
      </c>
      <c r="M79" s="58">
        <v>1</v>
      </c>
      <c r="N79" s="58">
        <v>2</v>
      </c>
    </row>
    <row r="80" spans="1:14" x14ac:dyDescent="0.2">
      <c r="A80" s="58" t="s">
        <v>49</v>
      </c>
      <c r="B80" s="58">
        <v>2715</v>
      </c>
      <c r="C80" s="58" t="s">
        <v>57</v>
      </c>
      <c r="D80" s="58">
        <v>30</v>
      </c>
      <c r="E80" s="58">
        <v>0</v>
      </c>
      <c r="F80" s="58">
        <v>30</v>
      </c>
      <c r="G80" s="58">
        <v>30</v>
      </c>
      <c r="H80" s="58" t="s">
        <v>53</v>
      </c>
      <c r="I80" s="58">
        <v>100</v>
      </c>
      <c r="J80" s="2">
        <v>1</v>
      </c>
      <c r="K80" s="58">
        <v>100</v>
      </c>
      <c r="L80" s="58">
        <v>4</v>
      </c>
      <c r="M80" s="58">
        <v>1</v>
      </c>
      <c r="N80" s="58">
        <v>2</v>
      </c>
    </row>
    <row r="81" spans="1:14" x14ac:dyDescent="0.2">
      <c r="A81" s="58" t="s">
        <v>49</v>
      </c>
      <c r="B81" s="58">
        <v>2725</v>
      </c>
      <c r="C81" s="58" t="s">
        <v>57</v>
      </c>
      <c r="D81" s="58">
        <v>40</v>
      </c>
      <c r="E81" s="58">
        <v>0</v>
      </c>
      <c r="F81" s="58">
        <v>40</v>
      </c>
      <c r="G81" s="58">
        <v>40</v>
      </c>
      <c r="H81" s="58" t="s">
        <v>53</v>
      </c>
      <c r="I81" s="58">
        <v>100</v>
      </c>
      <c r="J81" s="2">
        <v>1</v>
      </c>
      <c r="K81" s="58">
        <v>100</v>
      </c>
      <c r="L81" s="58">
        <v>4</v>
      </c>
      <c r="M81" s="58">
        <v>1</v>
      </c>
      <c r="N81" s="58">
        <v>2</v>
      </c>
    </row>
    <row r="82" spans="1:14" x14ac:dyDescent="0.2">
      <c r="A82" s="58" t="s">
        <v>49</v>
      </c>
      <c r="B82" s="58">
        <v>2909</v>
      </c>
      <c r="C82" s="58" t="s">
        <v>57</v>
      </c>
      <c r="D82" s="58">
        <v>18</v>
      </c>
      <c r="E82" s="58">
        <v>0</v>
      </c>
      <c r="F82" s="58">
        <v>18</v>
      </c>
      <c r="G82" s="58">
        <v>18</v>
      </c>
      <c r="H82" s="58" t="s">
        <v>53</v>
      </c>
      <c r="I82" s="58">
        <v>100</v>
      </c>
      <c r="J82" s="2">
        <v>1</v>
      </c>
      <c r="K82" s="58">
        <v>100</v>
      </c>
      <c r="L82" s="58">
        <v>4</v>
      </c>
      <c r="M82" s="58">
        <v>1</v>
      </c>
      <c r="N82" s="58">
        <v>2</v>
      </c>
    </row>
    <row r="83" spans="1:14" x14ac:dyDescent="0.2">
      <c r="A83" s="58" t="s">
        <v>49</v>
      </c>
      <c r="B83" s="58">
        <v>2925</v>
      </c>
      <c r="C83" s="58" t="s">
        <v>57</v>
      </c>
      <c r="D83" s="58">
        <v>0</v>
      </c>
      <c r="E83" s="58">
        <v>26</v>
      </c>
      <c r="F83" s="58">
        <v>26</v>
      </c>
      <c r="G83" s="58">
        <v>26</v>
      </c>
      <c r="H83" s="58" t="s">
        <v>53</v>
      </c>
      <c r="I83" s="58">
        <v>100</v>
      </c>
      <c r="J83" s="2">
        <v>1</v>
      </c>
      <c r="K83" s="58">
        <v>100</v>
      </c>
      <c r="L83" s="58">
        <v>4</v>
      </c>
      <c r="M83" s="58">
        <v>1</v>
      </c>
      <c r="N83" s="58">
        <v>2</v>
      </c>
    </row>
    <row r="84" spans="1:14" x14ac:dyDescent="0.2">
      <c r="A84" s="58" t="s">
        <v>49</v>
      </c>
      <c r="B84" s="58">
        <v>1545</v>
      </c>
      <c r="C84" s="58" t="s">
        <v>57</v>
      </c>
      <c r="D84" s="58">
        <v>83</v>
      </c>
      <c r="E84" s="58">
        <v>5</v>
      </c>
      <c r="F84" s="58">
        <v>88</v>
      </c>
      <c r="G84" s="58">
        <v>88</v>
      </c>
      <c r="H84" s="58" t="s">
        <v>53</v>
      </c>
      <c r="I84" s="58">
        <v>100</v>
      </c>
      <c r="J84" s="2">
        <v>1</v>
      </c>
      <c r="K84" s="58">
        <v>100</v>
      </c>
      <c r="L84" s="58">
        <v>4</v>
      </c>
      <c r="M84" s="58">
        <v>1</v>
      </c>
      <c r="N84" s="58">
        <v>2</v>
      </c>
    </row>
    <row r="85" spans="1:14" x14ac:dyDescent="0.2">
      <c r="A85" s="58" t="s">
        <v>49</v>
      </c>
      <c r="B85" s="58">
        <v>1593</v>
      </c>
      <c r="C85" s="58" t="s">
        <v>57</v>
      </c>
      <c r="D85" s="58">
        <v>0</v>
      </c>
      <c r="E85" s="58">
        <v>86</v>
      </c>
      <c r="F85" s="58">
        <v>86</v>
      </c>
      <c r="G85" s="58">
        <v>86</v>
      </c>
      <c r="H85" s="58" t="s">
        <v>53</v>
      </c>
      <c r="I85" s="58">
        <v>100</v>
      </c>
      <c r="J85" s="2">
        <v>1</v>
      </c>
      <c r="K85" s="58">
        <v>100</v>
      </c>
      <c r="L85" s="58">
        <v>4</v>
      </c>
      <c r="M85" s="58">
        <v>1</v>
      </c>
      <c r="N85" s="58">
        <v>2</v>
      </c>
    </row>
    <row r="86" spans="1:14" x14ac:dyDescent="0.2">
      <c r="A86" s="58" t="s">
        <v>49</v>
      </c>
      <c r="B86" s="58">
        <v>1908</v>
      </c>
      <c r="C86" s="58" t="s">
        <v>57</v>
      </c>
      <c r="D86" s="58">
        <v>0</v>
      </c>
      <c r="E86" s="58">
        <v>86.5</v>
      </c>
      <c r="F86" s="58">
        <v>86.5</v>
      </c>
      <c r="G86" s="58">
        <v>72</v>
      </c>
      <c r="H86" s="58" t="s">
        <v>53</v>
      </c>
      <c r="I86" s="58">
        <v>120.13888888888889</v>
      </c>
      <c r="J86" s="2">
        <v>1</v>
      </c>
      <c r="K86" s="58">
        <v>100</v>
      </c>
      <c r="L86" s="58">
        <v>4</v>
      </c>
      <c r="M86" s="58">
        <v>1</v>
      </c>
      <c r="N86" s="58">
        <v>2</v>
      </c>
    </row>
    <row r="87" spans="1:14" x14ac:dyDescent="0.2">
      <c r="A87" s="58" t="s">
        <v>49</v>
      </c>
      <c r="B87" s="58">
        <v>2057</v>
      </c>
      <c r="C87" s="58" t="s">
        <v>57</v>
      </c>
      <c r="D87" s="58">
        <v>0</v>
      </c>
      <c r="E87" s="58">
        <v>257</v>
      </c>
      <c r="F87" s="58">
        <v>257</v>
      </c>
      <c r="G87" s="58">
        <v>72</v>
      </c>
      <c r="H87" s="58" t="s">
        <v>53</v>
      </c>
      <c r="I87" s="58">
        <v>356.94444444444446</v>
      </c>
      <c r="J87" s="2">
        <v>1</v>
      </c>
      <c r="K87" s="58">
        <v>100</v>
      </c>
      <c r="L87" s="58">
        <v>4</v>
      </c>
      <c r="M87" s="58">
        <v>1</v>
      </c>
      <c r="N87" s="58">
        <v>2</v>
      </c>
    </row>
    <row r="88" spans="1:14" x14ac:dyDescent="0.2">
      <c r="A88" s="58" t="s">
        <v>49</v>
      </c>
      <c r="B88" s="58">
        <v>2219</v>
      </c>
      <c r="C88" s="58" t="s">
        <v>57</v>
      </c>
      <c r="D88" s="58">
        <v>77</v>
      </c>
      <c r="E88" s="58">
        <v>35</v>
      </c>
      <c r="F88" s="58">
        <v>112</v>
      </c>
      <c r="G88" s="58">
        <v>112</v>
      </c>
      <c r="H88" s="58" t="s">
        <v>53</v>
      </c>
      <c r="I88" s="58">
        <v>100</v>
      </c>
      <c r="J88" s="2">
        <v>1</v>
      </c>
      <c r="K88" s="58">
        <v>100</v>
      </c>
      <c r="L88" s="58">
        <v>4</v>
      </c>
      <c r="M88" s="58">
        <v>1</v>
      </c>
      <c r="N88" s="58">
        <v>2</v>
      </c>
    </row>
    <row r="89" spans="1:14" x14ac:dyDescent="0.2">
      <c r="A89" s="58" t="s">
        <v>49</v>
      </c>
      <c r="B89" s="58">
        <v>2283</v>
      </c>
      <c r="C89" s="58" t="s">
        <v>57</v>
      </c>
      <c r="D89" s="58">
        <v>0</v>
      </c>
      <c r="E89" s="58">
        <v>124</v>
      </c>
      <c r="F89" s="58">
        <v>124</v>
      </c>
      <c r="G89" s="58">
        <v>124</v>
      </c>
      <c r="H89" s="58" t="s">
        <v>53</v>
      </c>
      <c r="I89" s="58">
        <v>100</v>
      </c>
      <c r="J89" s="2">
        <v>1</v>
      </c>
      <c r="K89" s="58">
        <v>100</v>
      </c>
      <c r="L89" s="58">
        <v>4</v>
      </c>
      <c r="M89" s="58">
        <v>1</v>
      </c>
      <c r="N89" s="58">
        <v>2</v>
      </c>
    </row>
    <row r="90" spans="1:14" x14ac:dyDescent="0.2">
      <c r="A90" s="58" t="s">
        <v>49</v>
      </c>
      <c r="B90" s="58">
        <v>2437</v>
      </c>
      <c r="C90" s="58" t="s">
        <v>57</v>
      </c>
      <c r="D90" s="58">
        <v>0</v>
      </c>
      <c r="E90" s="58">
        <v>173</v>
      </c>
      <c r="F90" s="58">
        <v>173</v>
      </c>
      <c r="G90" s="58">
        <v>114</v>
      </c>
      <c r="H90" s="58" t="s">
        <v>53</v>
      </c>
      <c r="I90" s="58">
        <v>151.75438596491227</v>
      </c>
      <c r="J90" s="2">
        <v>1</v>
      </c>
      <c r="K90" s="58">
        <v>100</v>
      </c>
      <c r="L90" s="58">
        <v>4</v>
      </c>
      <c r="M90" s="58">
        <v>1</v>
      </c>
      <c r="N90" s="58">
        <v>2</v>
      </c>
    </row>
    <row r="91" spans="1:14" x14ac:dyDescent="0.2">
      <c r="A91" s="58" t="s">
        <v>49</v>
      </c>
      <c r="B91" s="58">
        <v>2519</v>
      </c>
      <c r="C91" s="58" t="s">
        <v>57</v>
      </c>
      <c r="D91" s="58">
        <v>60</v>
      </c>
      <c r="E91" s="58">
        <v>17</v>
      </c>
      <c r="F91" s="58">
        <v>77</v>
      </c>
      <c r="G91" s="58">
        <v>54</v>
      </c>
      <c r="H91" s="58" t="s">
        <v>53</v>
      </c>
      <c r="I91" s="58">
        <v>142.59259259259258</v>
      </c>
      <c r="J91" s="2">
        <v>1</v>
      </c>
      <c r="K91" s="58">
        <v>100</v>
      </c>
      <c r="L91" s="58">
        <v>4</v>
      </c>
      <c r="M91" s="58">
        <v>1</v>
      </c>
      <c r="N91" s="58">
        <v>2</v>
      </c>
    </row>
    <row r="92" spans="1:14" x14ac:dyDescent="0.2">
      <c r="A92" s="58" t="s">
        <v>49</v>
      </c>
      <c r="B92" s="58">
        <v>2799</v>
      </c>
      <c r="C92" s="58" t="s">
        <v>57</v>
      </c>
      <c r="D92" s="58">
        <v>0</v>
      </c>
      <c r="E92" s="58">
        <v>42</v>
      </c>
      <c r="F92" s="58">
        <v>42</v>
      </c>
      <c r="G92" s="58">
        <v>39</v>
      </c>
      <c r="H92" s="58" t="s">
        <v>53</v>
      </c>
      <c r="I92" s="58">
        <v>107.69230769230769</v>
      </c>
      <c r="J92" s="2">
        <v>1</v>
      </c>
      <c r="K92" s="58">
        <v>100</v>
      </c>
      <c r="L92" s="58">
        <v>4</v>
      </c>
      <c r="M92" s="58">
        <v>1</v>
      </c>
      <c r="N92" s="58">
        <v>2</v>
      </c>
    </row>
    <row r="93" spans="1:14" x14ac:dyDescent="0.2">
      <c r="A93" s="56" t="s">
        <v>48</v>
      </c>
      <c r="B93" s="56">
        <v>1751</v>
      </c>
      <c r="C93" s="58" t="s">
        <v>57</v>
      </c>
      <c r="D93" s="56">
        <v>76</v>
      </c>
      <c r="E93" s="56">
        <v>0</v>
      </c>
      <c r="F93" s="56">
        <f>E93+D93</f>
        <v>76</v>
      </c>
      <c r="G93" s="56">
        <v>170</v>
      </c>
      <c r="H93" s="58" t="s">
        <v>54</v>
      </c>
      <c r="I93" s="56">
        <f>F93/G93*100</f>
        <v>44.705882352941181</v>
      </c>
      <c r="J93" s="1" t="s">
        <v>6</v>
      </c>
      <c r="K93" s="56">
        <f>I93</f>
        <v>44.705882352941181</v>
      </c>
      <c r="L93" s="1">
        <v>1</v>
      </c>
      <c r="M93" s="58">
        <v>2</v>
      </c>
      <c r="N93" s="58">
        <v>2</v>
      </c>
    </row>
    <row r="94" spans="1:14" x14ac:dyDescent="0.2">
      <c r="A94" s="58" t="s">
        <v>49</v>
      </c>
      <c r="B94" s="58">
        <v>1707</v>
      </c>
      <c r="C94" s="58" t="s">
        <v>57</v>
      </c>
      <c r="D94" s="58">
        <v>26</v>
      </c>
      <c r="E94" s="58">
        <v>55</v>
      </c>
      <c r="F94" s="58">
        <v>81</v>
      </c>
      <c r="G94" s="58">
        <v>244</v>
      </c>
      <c r="H94" s="58" t="s">
        <v>54</v>
      </c>
      <c r="I94" s="58">
        <v>33.196721311475407</v>
      </c>
      <c r="J94" s="1" t="s">
        <v>6</v>
      </c>
      <c r="K94" s="58">
        <v>33.196721311475407</v>
      </c>
      <c r="L94" s="1">
        <v>1</v>
      </c>
      <c r="M94" s="58">
        <v>2</v>
      </c>
      <c r="N94" s="58">
        <v>2</v>
      </c>
    </row>
    <row r="95" spans="1:14" x14ac:dyDescent="0.2">
      <c r="A95" s="58" t="s">
        <v>49</v>
      </c>
      <c r="B95" s="58">
        <v>2153</v>
      </c>
      <c r="C95" s="58" t="s">
        <v>57</v>
      </c>
      <c r="D95" s="58">
        <v>9</v>
      </c>
      <c r="E95" s="58">
        <v>31</v>
      </c>
      <c r="F95" s="58">
        <v>40</v>
      </c>
      <c r="G95" s="58">
        <v>156</v>
      </c>
      <c r="H95" s="58" t="s">
        <v>54</v>
      </c>
      <c r="I95" s="58">
        <v>25.641025641025639</v>
      </c>
      <c r="J95" s="1" t="s">
        <v>6</v>
      </c>
      <c r="K95" s="58">
        <v>25.641025641025639</v>
      </c>
      <c r="L95" s="1">
        <v>1</v>
      </c>
      <c r="M95" s="58">
        <v>2</v>
      </c>
      <c r="N95" s="58">
        <v>2</v>
      </c>
    </row>
    <row r="96" spans="1:14" x14ac:dyDescent="0.2">
      <c r="A96" s="58" t="s">
        <v>49</v>
      </c>
      <c r="B96" s="58">
        <v>2748</v>
      </c>
      <c r="C96" s="58" t="s">
        <v>57</v>
      </c>
      <c r="D96" s="58">
        <v>147</v>
      </c>
      <c r="E96" s="58">
        <v>0</v>
      </c>
      <c r="F96" s="58">
        <v>147</v>
      </c>
      <c r="G96" s="58">
        <v>298</v>
      </c>
      <c r="H96" s="58" t="s">
        <v>54</v>
      </c>
      <c r="I96" s="58">
        <v>49.328859060402685</v>
      </c>
      <c r="J96" s="1" t="s">
        <v>6</v>
      </c>
      <c r="K96" s="58">
        <v>49.328859060402685</v>
      </c>
      <c r="L96" s="1">
        <v>1</v>
      </c>
      <c r="M96" s="58">
        <v>2</v>
      </c>
      <c r="N96" s="58">
        <v>2</v>
      </c>
    </row>
    <row r="97" spans="1:14" x14ac:dyDescent="0.2">
      <c r="A97" s="58" t="s">
        <v>49</v>
      </c>
      <c r="B97" s="58">
        <v>1951</v>
      </c>
      <c r="C97" s="58" t="s">
        <v>57</v>
      </c>
      <c r="D97" s="58">
        <v>0</v>
      </c>
      <c r="E97" s="58">
        <v>22</v>
      </c>
      <c r="F97" s="58">
        <v>22</v>
      </c>
      <c r="G97" s="58">
        <v>151</v>
      </c>
      <c r="H97" s="58" t="s">
        <v>54</v>
      </c>
      <c r="I97" s="58">
        <v>14.569536423841059</v>
      </c>
      <c r="J97" s="1" t="s">
        <v>6</v>
      </c>
      <c r="K97" s="58">
        <v>14.569536423841059</v>
      </c>
      <c r="L97" s="1">
        <v>1</v>
      </c>
      <c r="M97" s="58">
        <v>2</v>
      </c>
      <c r="N97" s="58">
        <v>2</v>
      </c>
    </row>
    <row r="98" spans="1:14" x14ac:dyDescent="0.2">
      <c r="A98" s="58" t="s">
        <v>49</v>
      </c>
      <c r="B98" s="58">
        <v>1967</v>
      </c>
      <c r="C98" s="58" t="s">
        <v>57</v>
      </c>
      <c r="D98" s="58">
        <v>0</v>
      </c>
      <c r="E98" s="58">
        <v>130</v>
      </c>
      <c r="F98" s="58">
        <v>130</v>
      </c>
      <c r="G98" s="58">
        <v>286</v>
      </c>
      <c r="H98" s="58" t="s">
        <v>54</v>
      </c>
      <c r="I98" s="58">
        <v>45.454545454545453</v>
      </c>
      <c r="J98" s="1" t="s">
        <v>6</v>
      </c>
      <c r="K98" s="58">
        <v>45.454545454545453</v>
      </c>
      <c r="L98" s="1">
        <v>1</v>
      </c>
      <c r="M98" s="58">
        <v>2</v>
      </c>
      <c r="N98" s="58">
        <v>2</v>
      </c>
    </row>
    <row r="99" spans="1:14" x14ac:dyDescent="0.2">
      <c r="A99" s="58" t="s">
        <v>49</v>
      </c>
      <c r="B99" s="58">
        <v>2138</v>
      </c>
      <c r="C99" s="58" t="s">
        <v>57</v>
      </c>
      <c r="D99" s="58">
        <v>0</v>
      </c>
      <c r="E99" s="58">
        <v>23</v>
      </c>
      <c r="F99" s="58">
        <v>23</v>
      </c>
      <c r="G99" s="58">
        <v>150</v>
      </c>
      <c r="H99" s="58" t="s">
        <v>54</v>
      </c>
      <c r="I99" s="58">
        <v>15.333333333333332</v>
      </c>
      <c r="J99" s="1" t="s">
        <v>6</v>
      </c>
      <c r="K99" s="58">
        <v>15.333333333333332</v>
      </c>
      <c r="L99" s="1">
        <v>1</v>
      </c>
      <c r="M99" s="58">
        <v>2</v>
      </c>
      <c r="N99" s="58">
        <v>2</v>
      </c>
    </row>
    <row r="100" spans="1:14" x14ac:dyDescent="0.2">
      <c r="A100" s="56" t="s">
        <v>48</v>
      </c>
      <c r="B100" s="56">
        <v>1735</v>
      </c>
      <c r="C100" s="58" t="s">
        <v>57</v>
      </c>
      <c r="D100" s="56">
        <v>155.20000000000005</v>
      </c>
      <c r="E100" s="56">
        <v>0</v>
      </c>
      <c r="F100" s="56">
        <f>E100+D100</f>
        <v>155.20000000000005</v>
      </c>
      <c r="G100" s="56">
        <v>230</v>
      </c>
      <c r="H100" s="58" t="s">
        <v>54</v>
      </c>
      <c r="I100" s="56">
        <f>F100/G100*100</f>
        <v>67.478260869565233</v>
      </c>
      <c r="J100" s="1" t="s">
        <v>7</v>
      </c>
      <c r="K100" s="56">
        <f>I100</f>
        <v>67.478260869565233</v>
      </c>
      <c r="L100" s="58">
        <v>2</v>
      </c>
      <c r="M100" s="58">
        <v>2</v>
      </c>
      <c r="N100" s="58">
        <v>2</v>
      </c>
    </row>
    <row r="101" spans="1:14" x14ac:dyDescent="0.2">
      <c r="A101" s="56" t="s">
        <v>48</v>
      </c>
      <c r="B101" s="56">
        <v>1828</v>
      </c>
      <c r="C101" s="58" t="s">
        <v>57</v>
      </c>
      <c r="D101" s="56">
        <v>137</v>
      </c>
      <c r="E101" s="56">
        <v>16</v>
      </c>
      <c r="F101" s="56">
        <f>E101+D101</f>
        <v>153</v>
      </c>
      <c r="G101" s="56">
        <v>256</v>
      </c>
      <c r="H101" s="58" t="s">
        <v>54</v>
      </c>
      <c r="I101" s="56">
        <f>F101/G101*100</f>
        <v>59.765625</v>
      </c>
      <c r="J101" s="1" t="s">
        <v>7</v>
      </c>
      <c r="K101" s="56">
        <f>I101</f>
        <v>59.765625</v>
      </c>
      <c r="L101" s="58">
        <v>2</v>
      </c>
      <c r="M101" s="58">
        <v>2</v>
      </c>
      <c r="N101" s="58">
        <v>2</v>
      </c>
    </row>
    <row r="102" spans="1:14" x14ac:dyDescent="0.2">
      <c r="A102" s="56" t="s">
        <v>48</v>
      </c>
      <c r="B102" s="56">
        <v>1834</v>
      </c>
      <c r="C102" s="58" t="s">
        <v>57</v>
      </c>
      <c r="D102" s="56">
        <v>139</v>
      </c>
      <c r="E102" s="56">
        <v>14</v>
      </c>
      <c r="F102" s="56">
        <f>E102+D102</f>
        <v>153</v>
      </c>
      <c r="G102" s="56">
        <v>256</v>
      </c>
      <c r="H102" s="58" t="s">
        <v>54</v>
      </c>
      <c r="I102" s="56">
        <f>F102/G102*100</f>
        <v>59.765625</v>
      </c>
      <c r="J102" s="1" t="s">
        <v>7</v>
      </c>
      <c r="K102" s="56">
        <f>I102</f>
        <v>59.765625</v>
      </c>
      <c r="L102" s="58">
        <v>2</v>
      </c>
      <c r="M102" s="58">
        <v>2</v>
      </c>
      <c r="N102" s="58">
        <v>2</v>
      </c>
    </row>
    <row r="103" spans="1:14" x14ac:dyDescent="0.2">
      <c r="A103" s="56" t="s">
        <v>48</v>
      </c>
      <c r="B103" s="56">
        <v>1946</v>
      </c>
      <c r="C103" s="58" t="s">
        <v>57</v>
      </c>
      <c r="D103" s="56">
        <v>139.59999999999991</v>
      </c>
      <c r="E103" s="56">
        <v>11</v>
      </c>
      <c r="F103" s="56">
        <f>E103+D103</f>
        <v>150.59999999999991</v>
      </c>
      <c r="G103" s="56">
        <v>256</v>
      </c>
      <c r="H103" s="58" t="s">
        <v>54</v>
      </c>
      <c r="I103" s="56">
        <f>F103/G103*100</f>
        <v>58.828124999999964</v>
      </c>
      <c r="J103" s="1" t="s">
        <v>7</v>
      </c>
      <c r="K103" s="56">
        <f>I103</f>
        <v>58.828124999999964</v>
      </c>
      <c r="L103" s="58">
        <v>2</v>
      </c>
      <c r="M103" s="58">
        <v>2</v>
      </c>
      <c r="N103" s="58">
        <v>2</v>
      </c>
    </row>
    <row r="104" spans="1:14" x14ac:dyDescent="0.2">
      <c r="A104" s="56" t="s">
        <v>48</v>
      </c>
      <c r="B104" s="56">
        <v>1946</v>
      </c>
      <c r="C104" s="58" t="s">
        <v>57</v>
      </c>
      <c r="D104" s="56">
        <v>136</v>
      </c>
      <c r="E104" s="56">
        <v>17</v>
      </c>
      <c r="F104" s="56">
        <f>E104+D104</f>
        <v>153</v>
      </c>
      <c r="G104" s="56">
        <v>256</v>
      </c>
      <c r="H104" s="58" t="s">
        <v>54</v>
      </c>
      <c r="I104" s="56">
        <f>F104/G104*100</f>
        <v>59.765625</v>
      </c>
      <c r="J104" s="1" t="s">
        <v>7</v>
      </c>
      <c r="K104" s="56">
        <f>I104</f>
        <v>59.765625</v>
      </c>
      <c r="L104" s="58">
        <v>2</v>
      </c>
      <c r="M104" s="58">
        <v>2</v>
      </c>
      <c r="N104" s="58">
        <v>2</v>
      </c>
    </row>
    <row r="105" spans="1:14" x14ac:dyDescent="0.2">
      <c r="A105" s="58" t="s">
        <v>48</v>
      </c>
      <c r="B105" s="58">
        <v>2005</v>
      </c>
      <c r="C105" s="58" t="s">
        <v>57</v>
      </c>
      <c r="D105" s="54">
        <v>210</v>
      </c>
      <c r="E105" s="54">
        <v>0</v>
      </c>
      <c r="F105" s="58">
        <v>210</v>
      </c>
      <c r="G105" s="58">
        <v>285</v>
      </c>
      <c r="H105" s="58" t="s">
        <v>54</v>
      </c>
      <c r="I105" s="58">
        <v>73.68421052631578</v>
      </c>
      <c r="J105" s="1" t="s">
        <v>7</v>
      </c>
      <c r="K105" s="58">
        <v>73.68421052631578</v>
      </c>
      <c r="L105" s="58">
        <v>2</v>
      </c>
      <c r="M105" s="58">
        <v>2</v>
      </c>
      <c r="N105" s="58">
        <v>2</v>
      </c>
    </row>
    <row r="106" spans="1:14" x14ac:dyDescent="0.2">
      <c r="A106" s="58" t="s">
        <v>49</v>
      </c>
      <c r="B106" s="58">
        <v>2906</v>
      </c>
      <c r="C106" s="58" t="s">
        <v>57</v>
      </c>
      <c r="D106" s="58">
        <v>156</v>
      </c>
      <c r="E106" s="58">
        <v>0</v>
      </c>
      <c r="F106" s="58">
        <v>156</v>
      </c>
      <c r="G106" s="58">
        <v>283</v>
      </c>
      <c r="H106" s="58" t="s">
        <v>54</v>
      </c>
      <c r="I106" s="58">
        <v>55.123674911660778</v>
      </c>
      <c r="J106" s="1" t="s">
        <v>7</v>
      </c>
      <c r="K106" s="58">
        <v>55.123674911660778</v>
      </c>
      <c r="L106" s="58">
        <v>2</v>
      </c>
      <c r="M106" s="58">
        <v>2</v>
      </c>
      <c r="N106" s="58">
        <v>2</v>
      </c>
    </row>
    <row r="107" spans="1:14" x14ac:dyDescent="0.2">
      <c r="A107" s="58" t="s">
        <v>49</v>
      </c>
      <c r="B107" s="58">
        <v>1633</v>
      </c>
      <c r="C107" s="58" t="s">
        <v>57</v>
      </c>
      <c r="D107" s="58">
        <v>179</v>
      </c>
      <c r="E107" s="58">
        <v>19</v>
      </c>
      <c r="F107" s="58">
        <v>198</v>
      </c>
      <c r="G107" s="58">
        <v>287</v>
      </c>
      <c r="H107" s="58" t="s">
        <v>54</v>
      </c>
      <c r="I107" s="58">
        <v>68.98954703832753</v>
      </c>
      <c r="J107" s="1" t="s">
        <v>7</v>
      </c>
      <c r="K107" s="58">
        <v>68.98954703832753</v>
      </c>
      <c r="L107" s="58">
        <v>2</v>
      </c>
      <c r="M107" s="58">
        <v>2</v>
      </c>
      <c r="N107" s="58">
        <v>2</v>
      </c>
    </row>
    <row r="108" spans="1:14" x14ac:dyDescent="0.2">
      <c r="A108" s="58" t="s">
        <v>49</v>
      </c>
      <c r="B108" s="58">
        <v>2008</v>
      </c>
      <c r="C108" s="58" t="s">
        <v>57</v>
      </c>
      <c r="D108" s="58">
        <v>78</v>
      </c>
      <c r="E108" s="58">
        <v>35</v>
      </c>
      <c r="F108" s="58">
        <v>113</v>
      </c>
      <c r="G108" s="58">
        <v>184</v>
      </c>
      <c r="H108" s="58" t="s">
        <v>54</v>
      </c>
      <c r="I108" s="58">
        <v>61.413043478260867</v>
      </c>
      <c r="J108" s="1" t="s">
        <v>7</v>
      </c>
      <c r="K108" s="58">
        <v>61.413043478260867</v>
      </c>
      <c r="L108" s="58">
        <v>2</v>
      </c>
      <c r="M108" s="58">
        <v>2</v>
      </c>
      <c r="N108" s="58">
        <v>2</v>
      </c>
    </row>
    <row r="109" spans="1:14" x14ac:dyDescent="0.2">
      <c r="A109" s="58" t="s">
        <v>49</v>
      </c>
      <c r="B109" s="58">
        <v>2026</v>
      </c>
      <c r="C109" s="58" t="s">
        <v>57</v>
      </c>
      <c r="D109" s="58">
        <v>0</v>
      </c>
      <c r="E109" s="58">
        <v>149</v>
      </c>
      <c r="F109" s="58">
        <v>149</v>
      </c>
      <c r="G109" s="58">
        <v>243</v>
      </c>
      <c r="H109" s="58" t="s">
        <v>54</v>
      </c>
      <c r="I109" s="58">
        <v>61.31687242798354</v>
      </c>
      <c r="J109" s="1" t="s">
        <v>7</v>
      </c>
      <c r="K109" s="58">
        <v>61.31687242798354</v>
      </c>
      <c r="L109" s="58">
        <v>2</v>
      </c>
      <c r="M109" s="58">
        <v>2</v>
      </c>
      <c r="N109" s="58">
        <v>2</v>
      </c>
    </row>
    <row r="110" spans="1:14" x14ac:dyDescent="0.2">
      <c r="A110" s="58" t="s">
        <v>49</v>
      </c>
      <c r="B110" s="58">
        <v>2133</v>
      </c>
      <c r="C110" s="58" t="s">
        <v>57</v>
      </c>
      <c r="D110" s="58">
        <v>106</v>
      </c>
      <c r="E110" s="58">
        <v>54</v>
      </c>
      <c r="F110" s="58">
        <v>160</v>
      </c>
      <c r="G110" s="58">
        <v>218</v>
      </c>
      <c r="H110" s="58" t="s">
        <v>54</v>
      </c>
      <c r="I110" s="58">
        <v>73.394495412844037</v>
      </c>
      <c r="J110" s="1" t="s">
        <v>7</v>
      </c>
      <c r="K110" s="58">
        <v>73.394495412844037</v>
      </c>
      <c r="L110" s="58">
        <v>2</v>
      </c>
      <c r="M110" s="58">
        <v>2</v>
      </c>
      <c r="N110" s="58">
        <v>2</v>
      </c>
    </row>
    <row r="111" spans="1:14" x14ac:dyDescent="0.2">
      <c r="A111" s="58" t="s">
        <v>49</v>
      </c>
      <c r="B111" s="58">
        <v>2156</v>
      </c>
      <c r="C111" s="58" t="s">
        <v>57</v>
      </c>
      <c r="D111" s="58">
        <v>0</v>
      </c>
      <c r="E111" s="58">
        <v>196</v>
      </c>
      <c r="F111" s="58">
        <v>196</v>
      </c>
      <c r="G111" s="58">
        <v>296</v>
      </c>
      <c r="H111" s="58" t="s">
        <v>54</v>
      </c>
      <c r="I111" s="58">
        <v>66.21621621621621</v>
      </c>
      <c r="J111" s="1" t="s">
        <v>7</v>
      </c>
      <c r="K111" s="58">
        <v>66.21621621621621</v>
      </c>
      <c r="L111" s="58">
        <v>2</v>
      </c>
      <c r="M111" s="58">
        <v>2</v>
      </c>
      <c r="N111" s="58">
        <v>2</v>
      </c>
    </row>
    <row r="112" spans="1:14" x14ac:dyDescent="0.2">
      <c r="A112" s="58" t="s">
        <v>49</v>
      </c>
      <c r="B112" s="58">
        <v>2371</v>
      </c>
      <c r="C112" s="58" t="s">
        <v>57</v>
      </c>
      <c r="D112" s="58">
        <v>114</v>
      </c>
      <c r="E112" s="58">
        <v>10</v>
      </c>
      <c r="F112" s="58">
        <v>124</v>
      </c>
      <c r="G112" s="58">
        <v>180</v>
      </c>
      <c r="H112" s="58" t="s">
        <v>54</v>
      </c>
      <c r="I112" s="58">
        <v>68.888888888888886</v>
      </c>
      <c r="J112" s="1" t="s">
        <v>7</v>
      </c>
      <c r="K112" s="58">
        <v>68.888888888888886</v>
      </c>
      <c r="L112" s="58">
        <v>2</v>
      </c>
      <c r="M112" s="58">
        <v>2</v>
      </c>
      <c r="N112" s="58">
        <v>2</v>
      </c>
    </row>
    <row r="113" spans="1:14" x14ac:dyDescent="0.2">
      <c r="A113" s="58" t="s">
        <v>49</v>
      </c>
      <c r="B113" s="58">
        <v>2689</v>
      </c>
      <c r="C113" s="58" t="s">
        <v>57</v>
      </c>
      <c r="D113" s="58">
        <v>156</v>
      </c>
      <c r="E113" s="58">
        <v>0</v>
      </c>
      <c r="F113" s="58">
        <v>156</v>
      </c>
      <c r="G113" s="58">
        <v>271</v>
      </c>
      <c r="H113" s="58" t="s">
        <v>54</v>
      </c>
      <c r="I113" s="58">
        <v>57.564575645756456</v>
      </c>
      <c r="J113" s="1" t="s">
        <v>7</v>
      </c>
      <c r="K113" s="58">
        <v>57.564575645756456</v>
      </c>
      <c r="L113" s="58">
        <v>2</v>
      </c>
      <c r="M113" s="58">
        <v>2</v>
      </c>
      <c r="N113" s="58">
        <v>2</v>
      </c>
    </row>
    <row r="114" spans="1:14" x14ac:dyDescent="0.2">
      <c r="A114" s="58" t="s">
        <v>48</v>
      </c>
      <c r="B114" s="58">
        <v>1763</v>
      </c>
      <c r="C114" s="58" t="s">
        <v>57</v>
      </c>
      <c r="D114" s="54">
        <v>202</v>
      </c>
      <c r="E114" s="54">
        <v>0</v>
      </c>
      <c r="F114" s="58">
        <v>202</v>
      </c>
      <c r="G114" s="58">
        <v>238</v>
      </c>
      <c r="H114" s="58" t="s">
        <v>54</v>
      </c>
      <c r="I114" s="58">
        <v>84.87394957983193</v>
      </c>
      <c r="J114" s="1" t="s">
        <v>8</v>
      </c>
      <c r="K114" s="58">
        <v>84.87394957983193</v>
      </c>
      <c r="L114" s="58">
        <v>3</v>
      </c>
      <c r="M114" s="58">
        <v>2</v>
      </c>
      <c r="N114" s="58">
        <v>2</v>
      </c>
    </row>
    <row r="115" spans="1:14" x14ac:dyDescent="0.2">
      <c r="A115" s="58" t="s">
        <v>48</v>
      </c>
      <c r="B115" s="58">
        <v>2819</v>
      </c>
      <c r="C115" s="58" t="s">
        <v>57</v>
      </c>
      <c r="D115" s="54">
        <v>220</v>
      </c>
      <c r="E115" s="54">
        <v>0</v>
      </c>
      <c r="F115" s="58">
        <v>220</v>
      </c>
      <c r="G115" s="58">
        <v>230</v>
      </c>
      <c r="H115" s="58" t="s">
        <v>54</v>
      </c>
      <c r="I115" s="58">
        <v>95.652173913043484</v>
      </c>
      <c r="J115" s="1" t="s">
        <v>8</v>
      </c>
      <c r="K115" s="58">
        <v>95.652173913043484</v>
      </c>
      <c r="L115" s="58">
        <v>3</v>
      </c>
      <c r="M115" s="58">
        <v>2</v>
      </c>
      <c r="N115" s="58">
        <v>2</v>
      </c>
    </row>
    <row r="116" spans="1:14" x14ac:dyDescent="0.2">
      <c r="A116" s="58" t="s">
        <v>49</v>
      </c>
      <c r="B116" s="58">
        <v>1864</v>
      </c>
      <c r="C116" s="58" t="s">
        <v>57</v>
      </c>
      <c r="D116" s="58">
        <v>30</v>
      </c>
      <c r="E116" s="58">
        <v>226</v>
      </c>
      <c r="F116" s="58">
        <v>256</v>
      </c>
      <c r="G116" s="58">
        <v>295</v>
      </c>
      <c r="H116" s="58" t="s">
        <v>54</v>
      </c>
      <c r="I116" s="58">
        <v>86.779661016949149</v>
      </c>
      <c r="J116" s="1" t="s">
        <v>8</v>
      </c>
      <c r="K116" s="58">
        <v>86.779661016949149</v>
      </c>
      <c r="L116" s="58">
        <v>3</v>
      </c>
      <c r="M116" s="58">
        <v>2</v>
      </c>
      <c r="N116" s="58">
        <v>2</v>
      </c>
    </row>
    <row r="117" spans="1:14" x14ac:dyDescent="0.2">
      <c r="A117" s="58" t="s">
        <v>49</v>
      </c>
      <c r="B117" s="58">
        <v>2027</v>
      </c>
      <c r="C117" s="58" t="s">
        <v>57</v>
      </c>
      <c r="D117" s="58">
        <v>168</v>
      </c>
      <c r="E117" s="58">
        <v>0</v>
      </c>
      <c r="F117" s="58">
        <v>168</v>
      </c>
      <c r="G117" s="58">
        <v>175</v>
      </c>
      <c r="H117" s="58" t="s">
        <v>54</v>
      </c>
      <c r="I117" s="58">
        <v>96</v>
      </c>
      <c r="J117" s="1" t="s">
        <v>8</v>
      </c>
      <c r="K117" s="58">
        <v>96</v>
      </c>
      <c r="L117" s="58">
        <v>3</v>
      </c>
      <c r="M117" s="58">
        <v>2</v>
      </c>
      <c r="N117" s="58">
        <v>2</v>
      </c>
    </row>
    <row r="118" spans="1:14" x14ac:dyDescent="0.2">
      <c r="A118" s="58" t="s">
        <v>49</v>
      </c>
      <c r="B118" s="58">
        <v>2062</v>
      </c>
      <c r="C118" s="58" t="s">
        <v>57</v>
      </c>
      <c r="D118" s="58">
        <v>171</v>
      </c>
      <c r="E118" s="58">
        <v>0</v>
      </c>
      <c r="F118" s="58">
        <v>171</v>
      </c>
      <c r="G118" s="58">
        <v>180</v>
      </c>
      <c r="H118" s="58" t="s">
        <v>54</v>
      </c>
      <c r="I118" s="58">
        <v>95</v>
      </c>
      <c r="J118" s="1" t="s">
        <v>8</v>
      </c>
      <c r="K118" s="58">
        <v>95</v>
      </c>
      <c r="L118" s="58">
        <v>3</v>
      </c>
      <c r="M118" s="58">
        <v>2</v>
      </c>
      <c r="N118" s="58">
        <v>2</v>
      </c>
    </row>
    <row r="119" spans="1:14" x14ac:dyDescent="0.2">
      <c r="A119" s="58" t="s">
        <v>49</v>
      </c>
      <c r="B119" s="58">
        <v>2118</v>
      </c>
      <c r="C119" s="58" t="s">
        <v>57</v>
      </c>
      <c r="D119" s="58">
        <v>74</v>
      </c>
      <c r="E119" s="58">
        <v>115</v>
      </c>
      <c r="F119" s="58">
        <v>189</v>
      </c>
      <c r="G119" s="58">
        <v>191</v>
      </c>
      <c r="H119" s="58" t="s">
        <v>54</v>
      </c>
      <c r="I119" s="58">
        <v>98.952879581151834</v>
      </c>
      <c r="J119" s="1" t="s">
        <v>8</v>
      </c>
      <c r="K119" s="58">
        <v>98.952879581151834</v>
      </c>
      <c r="L119" s="58">
        <v>3</v>
      </c>
      <c r="M119" s="58">
        <v>2</v>
      </c>
      <c r="N119" s="58">
        <v>2</v>
      </c>
    </row>
    <row r="120" spans="1:14" x14ac:dyDescent="0.2">
      <c r="A120" s="58" t="s">
        <v>49</v>
      </c>
      <c r="B120" s="58">
        <v>2292</v>
      </c>
      <c r="C120" s="58" t="s">
        <v>57</v>
      </c>
      <c r="D120" s="58">
        <v>142</v>
      </c>
      <c r="E120" s="58">
        <v>9</v>
      </c>
      <c r="F120" s="58">
        <v>151</v>
      </c>
      <c r="G120" s="58">
        <v>160</v>
      </c>
      <c r="H120" s="58" t="s">
        <v>54</v>
      </c>
      <c r="I120" s="58">
        <v>94.375</v>
      </c>
      <c r="J120" s="1" t="s">
        <v>8</v>
      </c>
      <c r="K120" s="58">
        <v>94.375</v>
      </c>
      <c r="L120" s="58">
        <v>3</v>
      </c>
      <c r="M120" s="58">
        <v>2</v>
      </c>
      <c r="N120" s="58">
        <v>2</v>
      </c>
    </row>
    <row r="121" spans="1:14" x14ac:dyDescent="0.2">
      <c r="A121" s="58" t="s">
        <v>49</v>
      </c>
      <c r="B121" s="58">
        <v>1766</v>
      </c>
      <c r="C121" s="58" t="s">
        <v>57</v>
      </c>
      <c r="D121" s="58">
        <v>192</v>
      </c>
      <c r="E121" s="58">
        <v>32</v>
      </c>
      <c r="F121" s="58">
        <v>224</v>
      </c>
      <c r="G121" s="58">
        <v>285</v>
      </c>
      <c r="H121" s="58" t="s">
        <v>54</v>
      </c>
      <c r="I121" s="58">
        <v>78.596491228070178</v>
      </c>
      <c r="J121" s="1" t="s">
        <v>8</v>
      </c>
      <c r="K121" s="58">
        <v>78.596491228070178</v>
      </c>
      <c r="L121" s="58">
        <v>3</v>
      </c>
      <c r="M121" s="58">
        <v>2</v>
      </c>
      <c r="N121" s="58">
        <v>2</v>
      </c>
    </row>
    <row r="122" spans="1:14" x14ac:dyDescent="0.2">
      <c r="A122" s="58" t="s">
        <v>49</v>
      </c>
      <c r="B122" s="58">
        <v>2014</v>
      </c>
      <c r="C122" s="58" t="s">
        <v>57</v>
      </c>
      <c r="D122" s="58">
        <v>0</v>
      </c>
      <c r="E122" s="58">
        <v>222</v>
      </c>
      <c r="F122" s="58">
        <v>222</v>
      </c>
      <c r="G122" s="58">
        <v>238</v>
      </c>
      <c r="H122" s="58" t="s">
        <v>54</v>
      </c>
      <c r="I122" s="58">
        <v>93.277310924369743</v>
      </c>
      <c r="J122" s="1" t="s">
        <v>8</v>
      </c>
      <c r="K122" s="58">
        <v>93.277310924369743</v>
      </c>
      <c r="L122" s="58">
        <v>3</v>
      </c>
      <c r="M122" s="58">
        <v>2</v>
      </c>
      <c r="N122" s="58">
        <v>2</v>
      </c>
    </row>
    <row r="123" spans="1:14" x14ac:dyDescent="0.2">
      <c r="A123" s="58" t="s">
        <v>49</v>
      </c>
      <c r="B123" s="58">
        <v>2330</v>
      </c>
      <c r="C123" s="58" t="s">
        <v>57</v>
      </c>
      <c r="D123" s="58">
        <v>191</v>
      </c>
      <c r="E123" s="58">
        <v>20</v>
      </c>
      <c r="F123" s="58">
        <v>211</v>
      </c>
      <c r="G123" s="58">
        <v>215</v>
      </c>
      <c r="H123" s="58" t="s">
        <v>54</v>
      </c>
      <c r="I123" s="58">
        <v>98.139534883720927</v>
      </c>
      <c r="J123" s="1" t="s">
        <v>8</v>
      </c>
      <c r="K123" s="58">
        <v>98.139534883720927</v>
      </c>
      <c r="L123" s="58">
        <v>3</v>
      </c>
      <c r="M123" s="58">
        <v>2</v>
      </c>
      <c r="N123" s="58">
        <v>2</v>
      </c>
    </row>
    <row r="124" spans="1:14" x14ac:dyDescent="0.2">
      <c r="A124" s="56" t="s">
        <v>48</v>
      </c>
      <c r="B124" s="56">
        <v>1548</v>
      </c>
      <c r="C124" s="58" t="s">
        <v>57</v>
      </c>
      <c r="D124" s="56">
        <v>242</v>
      </c>
      <c r="E124" s="56">
        <v>0</v>
      </c>
      <c r="F124" s="56">
        <v>242</v>
      </c>
      <c r="G124" s="56">
        <v>242</v>
      </c>
      <c r="H124" s="58" t="s">
        <v>54</v>
      </c>
      <c r="I124" s="56">
        <v>100</v>
      </c>
      <c r="J124" s="2">
        <v>1</v>
      </c>
      <c r="K124" s="56">
        <v>100</v>
      </c>
      <c r="L124" s="58">
        <v>4</v>
      </c>
      <c r="M124" s="58">
        <v>2</v>
      </c>
      <c r="N124" s="58">
        <v>2</v>
      </c>
    </row>
    <row r="125" spans="1:14" x14ac:dyDescent="0.2">
      <c r="A125" s="58" t="s">
        <v>48</v>
      </c>
      <c r="B125" s="58">
        <v>2097</v>
      </c>
      <c r="C125" s="58" t="s">
        <v>57</v>
      </c>
      <c r="D125" s="54">
        <v>285</v>
      </c>
      <c r="E125" s="54">
        <v>0</v>
      </c>
      <c r="F125" s="58">
        <v>285</v>
      </c>
      <c r="G125" s="58">
        <v>200</v>
      </c>
      <c r="H125" s="58" t="s">
        <v>54</v>
      </c>
      <c r="I125" s="58">
        <v>142.5</v>
      </c>
      <c r="J125" s="2">
        <v>1</v>
      </c>
      <c r="K125" s="58">
        <v>100</v>
      </c>
      <c r="L125" s="58">
        <v>4</v>
      </c>
      <c r="M125" s="58">
        <v>2</v>
      </c>
      <c r="N125" s="58">
        <v>2</v>
      </c>
    </row>
    <row r="126" spans="1:14" x14ac:dyDescent="0.2">
      <c r="A126" s="58" t="s">
        <v>48</v>
      </c>
      <c r="B126" s="58">
        <v>2456</v>
      </c>
      <c r="C126" s="58" t="s">
        <v>57</v>
      </c>
      <c r="D126" s="54">
        <v>296</v>
      </c>
      <c r="E126" s="54">
        <v>0</v>
      </c>
      <c r="F126" s="58">
        <v>296</v>
      </c>
      <c r="G126" s="58">
        <v>296</v>
      </c>
      <c r="H126" s="58" t="s">
        <v>54</v>
      </c>
      <c r="I126" s="58">
        <v>100</v>
      </c>
      <c r="J126" s="2">
        <v>1</v>
      </c>
      <c r="K126" s="58">
        <v>100</v>
      </c>
      <c r="L126" s="58">
        <v>4</v>
      </c>
      <c r="M126" s="58">
        <v>2</v>
      </c>
      <c r="N126" s="58">
        <v>2</v>
      </c>
    </row>
    <row r="127" spans="1:14" x14ac:dyDescent="0.2">
      <c r="A127" s="58" t="s">
        <v>49</v>
      </c>
      <c r="B127" s="58">
        <v>1651</v>
      </c>
      <c r="C127" s="58" t="s">
        <v>57</v>
      </c>
      <c r="D127" s="58">
        <v>227</v>
      </c>
      <c r="E127" s="58">
        <v>0</v>
      </c>
      <c r="F127" s="58">
        <v>227</v>
      </c>
      <c r="G127" s="58">
        <v>227</v>
      </c>
      <c r="H127" s="58" t="s">
        <v>54</v>
      </c>
      <c r="I127" s="58">
        <v>100</v>
      </c>
      <c r="J127" s="2">
        <v>1</v>
      </c>
      <c r="K127" s="58">
        <v>100</v>
      </c>
      <c r="L127" s="58">
        <v>4</v>
      </c>
      <c r="M127" s="58">
        <v>2</v>
      </c>
      <c r="N127" s="58">
        <v>2</v>
      </c>
    </row>
    <row r="128" spans="1:14" x14ac:dyDescent="0.2">
      <c r="A128" s="58" t="s">
        <v>49</v>
      </c>
      <c r="B128" s="58">
        <v>1814</v>
      </c>
      <c r="C128" s="58" t="s">
        <v>57</v>
      </c>
      <c r="D128" s="58">
        <v>128</v>
      </c>
      <c r="E128" s="58">
        <v>164</v>
      </c>
      <c r="F128" s="58">
        <v>292</v>
      </c>
      <c r="G128" s="58">
        <v>292</v>
      </c>
      <c r="H128" s="58" t="s">
        <v>54</v>
      </c>
      <c r="I128" s="58">
        <v>100</v>
      </c>
      <c r="J128" s="2">
        <v>1</v>
      </c>
      <c r="K128" s="58">
        <v>100</v>
      </c>
      <c r="L128" s="58">
        <v>4</v>
      </c>
      <c r="M128" s="58">
        <v>2</v>
      </c>
      <c r="N128" s="58">
        <v>2</v>
      </c>
    </row>
    <row r="129" spans="1:14" x14ac:dyDescent="0.2">
      <c r="A129" s="58" t="s">
        <v>49</v>
      </c>
      <c r="B129" s="58">
        <v>1852</v>
      </c>
      <c r="C129" s="58" t="s">
        <v>57</v>
      </c>
      <c r="D129" s="58">
        <v>151</v>
      </c>
      <c r="E129" s="58">
        <v>0</v>
      </c>
      <c r="F129" s="58">
        <v>151</v>
      </c>
      <c r="G129" s="58">
        <v>151</v>
      </c>
      <c r="H129" s="58" t="s">
        <v>54</v>
      </c>
      <c r="I129" s="58">
        <v>100</v>
      </c>
      <c r="J129" s="2">
        <v>1</v>
      </c>
      <c r="K129" s="58">
        <v>100</v>
      </c>
      <c r="L129" s="58">
        <v>4</v>
      </c>
      <c r="M129" s="58">
        <v>2</v>
      </c>
      <c r="N129" s="58">
        <v>2</v>
      </c>
    </row>
    <row r="130" spans="1:14" x14ac:dyDescent="0.2">
      <c r="A130" s="58" t="s">
        <v>49</v>
      </c>
      <c r="B130" s="58">
        <v>1991</v>
      </c>
      <c r="C130" s="58" t="s">
        <v>57</v>
      </c>
      <c r="D130" s="58">
        <v>205</v>
      </c>
      <c r="E130" s="58">
        <v>0</v>
      </c>
      <c r="F130" s="58">
        <v>205</v>
      </c>
      <c r="G130" s="58">
        <v>205</v>
      </c>
      <c r="H130" s="58" t="s">
        <v>54</v>
      </c>
      <c r="I130" s="58">
        <v>100</v>
      </c>
      <c r="J130" s="2">
        <v>1</v>
      </c>
      <c r="K130" s="58">
        <v>100</v>
      </c>
      <c r="L130" s="58">
        <v>4</v>
      </c>
      <c r="M130" s="58">
        <v>2</v>
      </c>
      <c r="N130" s="58">
        <v>2</v>
      </c>
    </row>
    <row r="131" spans="1:14" x14ac:dyDescent="0.2">
      <c r="A131" s="58" t="s">
        <v>49</v>
      </c>
      <c r="B131" s="58">
        <v>2060</v>
      </c>
      <c r="C131" s="58" t="s">
        <v>57</v>
      </c>
      <c r="D131" s="58">
        <v>138</v>
      </c>
      <c r="E131" s="58">
        <v>12</v>
      </c>
      <c r="F131" s="58">
        <v>150</v>
      </c>
      <c r="G131" s="58">
        <v>150</v>
      </c>
      <c r="H131" s="58" t="s">
        <v>54</v>
      </c>
      <c r="I131" s="58">
        <v>100</v>
      </c>
      <c r="J131" s="2">
        <v>1</v>
      </c>
      <c r="K131" s="58">
        <v>100</v>
      </c>
      <c r="L131" s="58">
        <v>4</v>
      </c>
      <c r="M131" s="58">
        <v>2</v>
      </c>
      <c r="N131" s="58">
        <v>2</v>
      </c>
    </row>
    <row r="132" spans="1:14" x14ac:dyDescent="0.2">
      <c r="A132" s="58" t="s">
        <v>49</v>
      </c>
      <c r="B132" s="58">
        <v>2066</v>
      </c>
      <c r="C132" s="58" t="s">
        <v>57</v>
      </c>
      <c r="D132" s="58">
        <v>39</v>
      </c>
      <c r="E132" s="58">
        <v>135</v>
      </c>
      <c r="F132" s="58">
        <v>174</v>
      </c>
      <c r="G132" s="58">
        <v>174</v>
      </c>
      <c r="H132" s="58" t="s">
        <v>54</v>
      </c>
      <c r="I132" s="58">
        <v>100</v>
      </c>
      <c r="J132" s="2">
        <v>1</v>
      </c>
      <c r="K132" s="58">
        <v>100</v>
      </c>
      <c r="L132" s="58">
        <v>4</v>
      </c>
      <c r="M132" s="58">
        <v>2</v>
      </c>
      <c r="N132" s="58">
        <v>2</v>
      </c>
    </row>
    <row r="133" spans="1:14" x14ac:dyDescent="0.2">
      <c r="A133" s="58" t="s">
        <v>49</v>
      </c>
      <c r="B133" s="58">
        <v>2131</v>
      </c>
      <c r="C133" s="58" t="s">
        <v>57</v>
      </c>
      <c r="D133" s="58">
        <v>187</v>
      </c>
      <c r="E133" s="58">
        <v>20</v>
      </c>
      <c r="F133" s="58">
        <v>207</v>
      </c>
      <c r="G133" s="58">
        <v>207</v>
      </c>
      <c r="H133" s="58" t="s">
        <v>54</v>
      </c>
      <c r="I133" s="58">
        <v>100</v>
      </c>
      <c r="J133" s="2">
        <v>1</v>
      </c>
      <c r="K133" s="58">
        <v>100</v>
      </c>
      <c r="L133" s="58">
        <v>4</v>
      </c>
      <c r="M133" s="58">
        <v>2</v>
      </c>
      <c r="N133" s="58">
        <v>2</v>
      </c>
    </row>
    <row r="134" spans="1:14" x14ac:dyDescent="0.2">
      <c r="A134" s="58" t="s">
        <v>49</v>
      </c>
      <c r="B134" s="58">
        <v>2141</v>
      </c>
      <c r="C134" s="58" t="s">
        <v>57</v>
      </c>
      <c r="D134" s="58">
        <v>67</v>
      </c>
      <c r="E134" s="58">
        <v>109</v>
      </c>
      <c r="F134" s="58">
        <v>176</v>
      </c>
      <c r="G134" s="58">
        <v>176</v>
      </c>
      <c r="H134" s="58" t="s">
        <v>54</v>
      </c>
      <c r="I134" s="58">
        <v>100</v>
      </c>
      <c r="J134" s="2">
        <v>1</v>
      </c>
      <c r="K134" s="58">
        <v>100</v>
      </c>
      <c r="L134" s="58">
        <v>4</v>
      </c>
      <c r="M134" s="58">
        <v>2</v>
      </c>
      <c r="N134" s="58">
        <v>2</v>
      </c>
    </row>
    <row r="135" spans="1:14" x14ac:dyDescent="0.2">
      <c r="A135" s="58" t="s">
        <v>49</v>
      </c>
      <c r="B135" s="58">
        <v>2330</v>
      </c>
      <c r="C135" s="58" t="s">
        <v>57</v>
      </c>
      <c r="D135" s="58">
        <v>80</v>
      </c>
      <c r="E135" s="58">
        <v>112</v>
      </c>
      <c r="F135" s="58">
        <v>192</v>
      </c>
      <c r="G135" s="58">
        <v>192</v>
      </c>
      <c r="H135" s="58" t="s">
        <v>54</v>
      </c>
      <c r="I135" s="58">
        <v>100</v>
      </c>
      <c r="J135" s="2">
        <v>1</v>
      </c>
      <c r="K135" s="58">
        <v>100</v>
      </c>
      <c r="L135" s="58">
        <v>4</v>
      </c>
      <c r="M135" s="58">
        <v>2</v>
      </c>
      <c r="N135" s="58">
        <v>2</v>
      </c>
    </row>
    <row r="136" spans="1:14" x14ac:dyDescent="0.2">
      <c r="A136" s="58" t="s">
        <v>49</v>
      </c>
      <c r="B136" s="58">
        <v>2533</v>
      </c>
      <c r="C136" s="58" t="s">
        <v>57</v>
      </c>
      <c r="D136" s="58">
        <v>62</v>
      </c>
      <c r="E136" s="58">
        <v>138</v>
      </c>
      <c r="F136" s="58">
        <v>200</v>
      </c>
      <c r="G136" s="58">
        <v>200</v>
      </c>
      <c r="H136" s="58" t="s">
        <v>54</v>
      </c>
      <c r="I136" s="58">
        <v>100</v>
      </c>
      <c r="J136" s="2">
        <v>1</v>
      </c>
      <c r="K136" s="58">
        <v>100</v>
      </c>
      <c r="L136" s="58">
        <v>4</v>
      </c>
      <c r="M136" s="58">
        <v>2</v>
      </c>
      <c r="N136" s="58">
        <v>2</v>
      </c>
    </row>
    <row r="137" spans="1:14" x14ac:dyDescent="0.2">
      <c r="A137" s="58" t="s">
        <v>49</v>
      </c>
      <c r="B137" s="58">
        <v>2623</v>
      </c>
      <c r="C137" s="58" t="s">
        <v>57</v>
      </c>
      <c r="D137" s="58">
        <v>135</v>
      </c>
      <c r="E137" s="58">
        <v>15</v>
      </c>
      <c r="F137" s="58">
        <v>150</v>
      </c>
      <c r="G137" s="58">
        <v>150</v>
      </c>
      <c r="H137" s="58" t="s">
        <v>54</v>
      </c>
      <c r="I137" s="58">
        <v>100</v>
      </c>
      <c r="J137" s="2">
        <v>1</v>
      </c>
      <c r="K137" s="58">
        <v>100</v>
      </c>
      <c r="L137" s="58">
        <v>4</v>
      </c>
      <c r="M137" s="58">
        <v>2</v>
      </c>
      <c r="N137" s="58">
        <v>2</v>
      </c>
    </row>
    <row r="138" spans="1:14" x14ac:dyDescent="0.2">
      <c r="A138" s="58" t="s">
        <v>49</v>
      </c>
      <c r="B138" s="58">
        <v>2694</v>
      </c>
      <c r="C138" s="58" t="s">
        <v>57</v>
      </c>
      <c r="D138" s="58">
        <v>190</v>
      </c>
      <c r="E138" s="58">
        <v>24</v>
      </c>
      <c r="F138" s="58">
        <v>214</v>
      </c>
      <c r="G138" s="58">
        <v>214</v>
      </c>
      <c r="H138" s="58" t="s">
        <v>54</v>
      </c>
      <c r="I138" s="58">
        <v>100</v>
      </c>
      <c r="J138" s="2">
        <v>1</v>
      </c>
      <c r="K138" s="58">
        <v>100</v>
      </c>
      <c r="L138" s="58">
        <v>4</v>
      </c>
      <c r="M138" s="58">
        <v>2</v>
      </c>
      <c r="N138" s="58">
        <v>2</v>
      </c>
    </row>
    <row r="139" spans="1:14" x14ac:dyDescent="0.2">
      <c r="A139" s="58" t="s">
        <v>49</v>
      </c>
      <c r="B139" s="58">
        <v>2926</v>
      </c>
      <c r="C139" s="58" t="s">
        <v>57</v>
      </c>
      <c r="D139" s="58">
        <v>96</v>
      </c>
      <c r="E139" s="58">
        <v>134</v>
      </c>
      <c r="F139" s="58">
        <v>230</v>
      </c>
      <c r="G139" s="58">
        <v>230</v>
      </c>
      <c r="H139" s="58" t="s">
        <v>54</v>
      </c>
      <c r="I139" s="58">
        <v>100</v>
      </c>
      <c r="J139" s="2">
        <v>1</v>
      </c>
      <c r="K139" s="58">
        <v>100</v>
      </c>
      <c r="L139" s="58">
        <v>4</v>
      </c>
      <c r="M139" s="58">
        <v>2</v>
      </c>
      <c r="N139" s="58">
        <v>2</v>
      </c>
    </row>
    <row r="140" spans="1:14" x14ac:dyDescent="0.2">
      <c r="A140" s="58" t="s">
        <v>49</v>
      </c>
      <c r="B140" s="58">
        <v>1697</v>
      </c>
      <c r="C140" s="58" t="s">
        <v>57</v>
      </c>
      <c r="D140" s="58">
        <v>235</v>
      </c>
      <c r="E140" s="58">
        <v>43</v>
      </c>
      <c r="F140" s="58">
        <v>278</v>
      </c>
      <c r="G140" s="58">
        <v>273</v>
      </c>
      <c r="H140" s="58" t="s">
        <v>54</v>
      </c>
      <c r="I140" s="58">
        <v>101.83150183150182</v>
      </c>
      <c r="J140" s="2">
        <v>1</v>
      </c>
      <c r="K140" s="58">
        <v>100</v>
      </c>
      <c r="L140" s="58">
        <v>4</v>
      </c>
      <c r="M140" s="58">
        <v>2</v>
      </c>
      <c r="N140" s="58">
        <v>2</v>
      </c>
    </row>
    <row r="141" spans="1:14" x14ac:dyDescent="0.2">
      <c r="A141" s="58" t="s">
        <v>49</v>
      </c>
      <c r="B141" s="58">
        <v>1846</v>
      </c>
      <c r="C141" s="58" t="s">
        <v>57</v>
      </c>
      <c r="D141" s="58">
        <v>0</v>
      </c>
      <c r="E141" s="58">
        <v>188</v>
      </c>
      <c r="F141" s="58">
        <v>188</v>
      </c>
      <c r="G141" s="58">
        <v>179</v>
      </c>
      <c r="H141" s="58" t="s">
        <v>54</v>
      </c>
      <c r="I141" s="58">
        <v>105.02793296089385</v>
      </c>
      <c r="J141" s="2">
        <v>1</v>
      </c>
      <c r="K141" s="58">
        <v>100</v>
      </c>
      <c r="L141" s="58">
        <v>4</v>
      </c>
      <c r="M141" s="58">
        <v>2</v>
      </c>
      <c r="N141" s="58">
        <v>2</v>
      </c>
    </row>
    <row r="142" spans="1:14" x14ac:dyDescent="0.2">
      <c r="A142" s="58" t="s">
        <v>49</v>
      </c>
      <c r="B142" s="58">
        <v>1953</v>
      </c>
      <c r="C142" s="58" t="s">
        <v>57</v>
      </c>
      <c r="D142" s="58">
        <v>0</v>
      </c>
      <c r="E142" s="58">
        <v>260</v>
      </c>
      <c r="F142" s="58">
        <v>260</v>
      </c>
      <c r="G142" s="58">
        <v>176</v>
      </c>
      <c r="H142" s="58" t="s">
        <v>54</v>
      </c>
      <c r="I142" s="58">
        <v>147.72727272727272</v>
      </c>
      <c r="J142" s="2">
        <v>1</v>
      </c>
      <c r="K142" s="58">
        <v>100</v>
      </c>
      <c r="L142" s="58">
        <v>4</v>
      </c>
      <c r="M142" s="58">
        <v>2</v>
      </c>
      <c r="N142" s="58">
        <v>2</v>
      </c>
    </row>
    <row r="143" spans="1:14" x14ac:dyDescent="0.2">
      <c r="A143" s="58" t="s">
        <v>49</v>
      </c>
      <c r="B143" s="58">
        <v>1989</v>
      </c>
      <c r="C143" s="58" t="s">
        <v>57</v>
      </c>
      <c r="D143" s="58">
        <v>0</v>
      </c>
      <c r="E143" s="58">
        <v>288</v>
      </c>
      <c r="F143" s="58">
        <v>288</v>
      </c>
      <c r="G143" s="58">
        <v>288</v>
      </c>
      <c r="H143" s="58" t="s">
        <v>54</v>
      </c>
      <c r="I143" s="58">
        <v>100</v>
      </c>
      <c r="J143" s="2">
        <v>1</v>
      </c>
      <c r="K143" s="58">
        <v>100</v>
      </c>
      <c r="L143" s="58">
        <v>4</v>
      </c>
      <c r="M143" s="58">
        <v>2</v>
      </c>
      <c r="N143" s="58">
        <v>2</v>
      </c>
    </row>
    <row r="144" spans="1:14" x14ac:dyDescent="0.2">
      <c r="A144" s="58" t="s">
        <v>49</v>
      </c>
      <c r="B144" s="58">
        <v>1998</v>
      </c>
      <c r="C144" s="58" t="s">
        <v>57</v>
      </c>
      <c r="D144" s="58">
        <v>0</v>
      </c>
      <c r="E144" s="58">
        <v>208</v>
      </c>
      <c r="F144" s="58">
        <v>208</v>
      </c>
      <c r="G144" s="58">
        <v>208</v>
      </c>
      <c r="H144" s="58" t="s">
        <v>54</v>
      </c>
      <c r="I144" s="58">
        <v>100</v>
      </c>
      <c r="J144" s="2">
        <v>1</v>
      </c>
      <c r="K144" s="58">
        <v>100</v>
      </c>
      <c r="L144" s="58">
        <v>4</v>
      </c>
      <c r="M144" s="58">
        <v>2</v>
      </c>
      <c r="N144" s="58">
        <v>2</v>
      </c>
    </row>
    <row r="145" spans="1:14" x14ac:dyDescent="0.2">
      <c r="A145" s="58" t="s">
        <v>49</v>
      </c>
      <c r="B145" s="58">
        <v>2036</v>
      </c>
      <c r="C145" s="58" t="s">
        <v>57</v>
      </c>
      <c r="D145" s="58">
        <v>0</v>
      </c>
      <c r="E145" s="58">
        <v>251</v>
      </c>
      <c r="F145" s="58">
        <v>251</v>
      </c>
      <c r="G145" s="58">
        <v>251</v>
      </c>
      <c r="H145" s="58" t="s">
        <v>54</v>
      </c>
      <c r="I145" s="58">
        <v>100</v>
      </c>
      <c r="J145" s="2">
        <v>1</v>
      </c>
      <c r="K145" s="58">
        <v>100</v>
      </c>
      <c r="L145" s="58">
        <v>4</v>
      </c>
      <c r="M145" s="58">
        <v>2</v>
      </c>
      <c r="N145" s="58">
        <v>2</v>
      </c>
    </row>
    <row r="146" spans="1:14" x14ac:dyDescent="0.2">
      <c r="A146" s="58" t="s">
        <v>49</v>
      </c>
      <c r="B146" s="58">
        <v>2238</v>
      </c>
      <c r="C146" s="58" t="s">
        <v>57</v>
      </c>
      <c r="D146" s="58">
        <v>0</v>
      </c>
      <c r="E146" s="58">
        <v>171</v>
      </c>
      <c r="F146" s="58">
        <v>171</v>
      </c>
      <c r="G146" s="58">
        <v>171</v>
      </c>
      <c r="H146" s="58" t="s">
        <v>54</v>
      </c>
      <c r="I146" s="58">
        <v>100</v>
      </c>
      <c r="J146" s="2">
        <v>1</v>
      </c>
      <c r="K146" s="58">
        <v>100</v>
      </c>
      <c r="L146" s="58">
        <v>4</v>
      </c>
      <c r="M146" s="58">
        <v>2</v>
      </c>
      <c r="N146" s="58">
        <v>2</v>
      </c>
    </row>
    <row r="147" spans="1:14" x14ac:dyDescent="0.2">
      <c r="A147" s="58" t="s">
        <v>49</v>
      </c>
      <c r="B147" s="58">
        <v>2695</v>
      </c>
      <c r="C147" s="58" t="s">
        <v>57</v>
      </c>
      <c r="D147" s="58">
        <v>0</v>
      </c>
      <c r="E147" s="58">
        <v>240</v>
      </c>
      <c r="F147" s="58">
        <v>240</v>
      </c>
      <c r="G147" s="58">
        <v>153</v>
      </c>
      <c r="H147" s="58" t="s">
        <v>54</v>
      </c>
      <c r="I147" s="58">
        <v>156.86274509803923</v>
      </c>
      <c r="J147" s="2">
        <v>1</v>
      </c>
      <c r="K147" s="58">
        <v>100</v>
      </c>
      <c r="L147" s="58">
        <v>4</v>
      </c>
      <c r="M147" s="58">
        <v>2</v>
      </c>
      <c r="N147" s="58">
        <v>2</v>
      </c>
    </row>
    <row r="148" spans="1:14" x14ac:dyDescent="0.2">
      <c r="A148" s="58" t="s">
        <v>49</v>
      </c>
      <c r="B148" s="58">
        <v>2756</v>
      </c>
      <c r="C148" s="58" t="s">
        <v>57</v>
      </c>
      <c r="D148" s="58">
        <v>0</v>
      </c>
      <c r="E148" s="58">
        <v>361</v>
      </c>
      <c r="F148" s="58">
        <v>361</v>
      </c>
      <c r="G148" s="58">
        <v>278</v>
      </c>
      <c r="H148" s="58" t="s">
        <v>54</v>
      </c>
      <c r="I148" s="58">
        <v>129.85611510791367</v>
      </c>
      <c r="J148" s="2">
        <v>1</v>
      </c>
      <c r="K148" s="58">
        <v>100</v>
      </c>
      <c r="L148" s="58">
        <v>4</v>
      </c>
      <c r="M148" s="58">
        <v>2</v>
      </c>
      <c r="N148" s="58">
        <v>2</v>
      </c>
    </row>
    <row r="149" spans="1:14" x14ac:dyDescent="0.2">
      <c r="A149" s="58" t="s">
        <v>49</v>
      </c>
      <c r="B149" s="58">
        <v>2905</v>
      </c>
      <c r="C149" s="58" t="s">
        <v>57</v>
      </c>
      <c r="D149" s="58">
        <v>186</v>
      </c>
      <c r="E149" s="58">
        <v>111</v>
      </c>
      <c r="F149" s="58">
        <v>297</v>
      </c>
      <c r="G149" s="58">
        <v>190</v>
      </c>
      <c r="H149" s="58" t="s">
        <v>54</v>
      </c>
      <c r="I149" s="58">
        <v>156.31578947368422</v>
      </c>
      <c r="J149" s="2">
        <v>1</v>
      </c>
      <c r="K149" s="58">
        <v>100</v>
      </c>
      <c r="L149" s="58">
        <v>4</v>
      </c>
      <c r="M149" s="58">
        <v>2</v>
      </c>
      <c r="N149" s="58">
        <v>2</v>
      </c>
    </row>
    <row r="150" spans="1:14" x14ac:dyDescent="0.2">
      <c r="A150" s="56" t="s">
        <v>48</v>
      </c>
      <c r="B150" s="56">
        <v>1807</v>
      </c>
      <c r="C150" s="58" t="s">
        <v>57</v>
      </c>
      <c r="D150" s="56">
        <v>169</v>
      </c>
      <c r="E150" s="56">
        <v>0</v>
      </c>
      <c r="F150" s="56">
        <f>E150+D150</f>
        <v>169</v>
      </c>
      <c r="G150" s="56">
        <v>385</v>
      </c>
      <c r="H150" s="58" t="s">
        <v>55</v>
      </c>
      <c r="I150" s="56">
        <f>F150/G150*100</f>
        <v>43.896103896103895</v>
      </c>
      <c r="J150" s="1" t="s">
        <v>6</v>
      </c>
      <c r="K150" s="56">
        <f>I150</f>
        <v>43.896103896103895</v>
      </c>
      <c r="L150" s="1">
        <v>1</v>
      </c>
      <c r="M150" s="58">
        <v>3</v>
      </c>
      <c r="N150" s="58">
        <v>2</v>
      </c>
    </row>
    <row r="151" spans="1:14" x14ac:dyDescent="0.2">
      <c r="A151" s="58" t="s">
        <v>49</v>
      </c>
      <c r="B151" s="58">
        <v>1730</v>
      </c>
      <c r="C151" s="58" t="s">
        <v>57</v>
      </c>
      <c r="D151" s="58">
        <v>202</v>
      </c>
      <c r="E151" s="58">
        <v>0</v>
      </c>
      <c r="F151" s="58">
        <v>202</v>
      </c>
      <c r="G151" s="58">
        <v>622</v>
      </c>
      <c r="H151" s="58" t="s">
        <v>55</v>
      </c>
      <c r="I151" s="58">
        <v>32.475884244372985</v>
      </c>
      <c r="J151" s="1" t="s">
        <v>6</v>
      </c>
      <c r="K151" s="58">
        <v>32.475884244372985</v>
      </c>
      <c r="L151" s="1">
        <v>1</v>
      </c>
      <c r="M151" s="58">
        <v>3</v>
      </c>
      <c r="N151" s="58">
        <v>2</v>
      </c>
    </row>
    <row r="152" spans="1:14" x14ac:dyDescent="0.2">
      <c r="A152" s="58" t="s">
        <v>49</v>
      </c>
      <c r="B152" s="58">
        <v>2370</v>
      </c>
      <c r="C152" s="58" t="s">
        <v>57</v>
      </c>
      <c r="D152" s="58">
        <v>118</v>
      </c>
      <c r="E152" s="58">
        <v>149</v>
      </c>
      <c r="F152" s="58">
        <v>267</v>
      </c>
      <c r="G152" s="58">
        <v>702</v>
      </c>
      <c r="H152" s="58" t="s">
        <v>55</v>
      </c>
      <c r="I152" s="58">
        <v>38.034188034188034</v>
      </c>
      <c r="J152" s="1" t="s">
        <v>6</v>
      </c>
      <c r="K152" s="58">
        <v>38.034188034188034</v>
      </c>
      <c r="L152" s="1">
        <v>1</v>
      </c>
      <c r="M152" s="58">
        <v>3</v>
      </c>
      <c r="N152" s="58">
        <v>2</v>
      </c>
    </row>
    <row r="153" spans="1:14" x14ac:dyDescent="0.2">
      <c r="A153" s="58" t="s">
        <v>49</v>
      </c>
      <c r="B153" s="58">
        <v>2507</v>
      </c>
      <c r="C153" s="58" t="s">
        <v>57</v>
      </c>
      <c r="D153" s="58">
        <v>159</v>
      </c>
      <c r="E153" s="58">
        <v>28</v>
      </c>
      <c r="F153" s="58">
        <v>187</v>
      </c>
      <c r="G153" s="58">
        <v>565</v>
      </c>
      <c r="H153" s="58" t="s">
        <v>55</v>
      </c>
      <c r="I153" s="58">
        <v>33.097345132743364</v>
      </c>
      <c r="J153" s="1" t="s">
        <v>6</v>
      </c>
      <c r="K153" s="58">
        <v>33.097345132743364</v>
      </c>
      <c r="L153" s="1">
        <v>1</v>
      </c>
      <c r="M153" s="58">
        <v>3</v>
      </c>
      <c r="N153" s="58">
        <v>2</v>
      </c>
    </row>
    <row r="154" spans="1:14" x14ac:dyDescent="0.2">
      <c r="A154" s="58" t="s">
        <v>49</v>
      </c>
      <c r="B154" s="58">
        <v>2806</v>
      </c>
      <c r="C154" s="58" t="s">
        <v>57</v>
      </c>
      <c r="D154" s="58">
        <v>67</v>
      </c>
      <c r="E154" s="58">
        <v>10</v>
      </c>
      <c r="F154" s="58">
        <v>77</v>
      </c>
      <c r="G154" s="58">
        <v>320</v>
      </c>
      <c r="H154" s="58" t="s">
        <v>55</v>
      </c>
      <c r="I154" s="58">
        <v>24.0625</v>
      </c>
      <c r="J154" s="1" t="s">
        <v>6</v>
      </c>
      <c r="K154" s="58">
        <v>24.0625</v>
      </c>
      <c r="L154" s="1">
        <v>1</v>
      </c>
      <c r="M154" s="58">
        <v>3</v>
      </c>
      <c r="N154" s="58">
        <v>2</v>
      </c>
    </row>
    <row r="155" spans="1:14" x14ac:dyDescent="0.2">
      <c r="A155" s="58" t="s">
        <v>49</v>
      </c>
      <c r="B155" s="58">
        <v>1540</v>
      </c>
      <c r="C155" s="58" t="s">
        <v>57</v>
      </c>
      <c r="D155" s="58">
        <v>0</v>
      </c>
      <c r="E155" s="58">
        <v>267</v>
      </c>
      <c r="F155" s="58">
        <v>267</v>
      </c>
      <c r="G155" s="58">
        <v>601</v>
      </c>
      <c r="H155" s="58" t="s">
        <v>55</v>
      </c>
      <c r="I155" s="58">
        <v>44.425956738768718</v>
      </c>
      <c r="J155" s="1" t="s">
        <v>6</v>
      </c>
      <c r="K155" s="58">
        <v>44.425956738768718</v>
      </c>
      <c r="L155" s="1">
        <v>1</v>
      </c>
      <c r="M155" s="58">
        <v>3</v>
      </c>
      <c r="N155" s="58">
        <v>2</v>
      </c>
    </row>
    <row r="156" spans="1:14" x14ac:dyDescent="0.2">
      <c r="A156" s="58" t="s">
        <v>49</v>
      </c>
      <c r="B156" s="58">
        <v>2733</v>
      </c>
      <c r="C156" s="58" t="s">
        <v>57</v>
      </c>
      <c r="D156" s="58">
        <v>0</v>
      </c>
      <c r="E156" s="58">
        <v>135</v>
      </c>
      <c r="F156" s="58">
        <v>135</v>
      </c>
      <c r="G156" s="58">
        <v>369</v>
      </c>
      <c r="H156" s="58" t="s">
        <v>55</v>
      </c>
      <c r="I156" s="58">
        <v>36.585365853658537</v>
      </c>
      <c r="J156" s="1" t="s">
        <v>6</v>
      </c>
      <c r="K156" s="58">
        <v>36.585365853658537</v>
      </c>
      <c r="L156" s="1">
        <v>1</v>
      </c>
      <c r="M156" s="58">
        <v>3</v>
      </c>
      <c r="N156" s="58">
        <v>2</v>
      </c>
    </row>
    <row r="157" spans="1:14" x14ac:dyDescent="0.2">
      <c r="A157" s="58" t="s">
        <v>49</v>
      </c>
      <c r="B157" s="58">
        <v>2937</v>
      </c>
      <c r="C157" s="58" t="s">
        <v>57</v>
      </c>
      <c r="D157" s="58">
        <v>0</v>
      </c>
      <c r="E157" s="58">
        <v>39</v>
      </c>
      <c r="F157" s="58">
        <v>39</v>
      </c>
      <c r="G157" s="58">
        <v>307</v>
      </c>
      <c r="H157" s="58" t="s">
        <v>55</v>
      </c>
      <c r="I157" s="58">
        <v>12.703583061889251</v>
      </c>
      <c r="J157" s="1" t="s">
        <v>6</v>
      </c>
      <c r="K157" s="58">
        <v>12.703583061889251</v>
      </c>
      <c r="L157" s="1">
        <v>1</v>
      </c>
      <c r="M157" s="58">
        <v>3</v>
      </c>
      <c r="N157" s="58">
        <v>2</v>
      </c>
    </row>
    <row r="158" spans="1:14" x14ac:dyDescent="0.2">
      <c r="A158" s="58" t="s">
        <v>49</v>
      </c>
      <c r="B158" s="58">
        <v>1601</v>
      </c>
      <c r="C158" s="58" t="s">
        <v>57</v>
      </c>
      <c r="D158" s="58">
        <v>214</v>
      </c>
      <c r="E158" s="58">
        <v>0</v>
      </c>
      <c r="F158" s="58">
        <v>214</v>
      </c>
      <c r="G158" s="58">
        <v>300</v>
      </c>
      <c r="H158" s="58" t="s">
        <v>55</v>
      </c>
      <c r="I158" s="58">
        <v>71.333333333333343</v>
      </c>
      <c r="J158" s="1" t="s">
        <v>7</v>
      </c>
      <c r="K158" s="58">
        <v>71.333333333333343</v>
      </c>
      <c r="L158" s="58">
        <v>2</v>
      </c>
      <c r="M158" s="58">
        <v>3</v>
      </c>
      <c r="N158" s="58">
        <v>2</v>
      </c>
    </row>
    <row r="159" spans="1:14" x14ac:dyDescent="0.2">
      <c r="A159" s="58" t="s">
        <v>49</v>
      </c>
      <c r="B159" s="58">
        <v>1906</v>
      </c>
      <c r="C159" s="58" t="s">
        <v>57</v>
      </c>
      <c r="D159" s="58">
        <v>42</v>
      </c>
      <c r="E159" s="58">
        <v>136</v>
      </c>
      <c r="F159" s="58">
        <v>178</v>
      </c>
      <c r="G159" s="58">
        <v>305</v>
      </c>
      <c r="H159" s="58" t="s">
        <v>55</v>
      </c>
      <c r="I159" s="58">
        <v>58.360655737704917</v>
      </c>
      <c r="J159" s="1" t="s">
        <v>7</v>
      </c>
      <c r="K159" s="58">
        <v>58.360655737704917</v>
      </c>
      <c r="L159" s="58">
        <v>2</v>
      </c>
      <c r="M159" s="58">
        <v>3</v>
      </c>
      <c r="N159" s="58">
        <v>2</v>
      </c>
    </row>
    <row r="160" spans="1:14" x14ac:dyDescent="0.2">
      <c r="A160" s="58" t="s">
        <v>49</v>
      </c>
      <c r="B160" s="58">
        <v>2967</v>
      </c>
      <c r="C160" s="58" t="s">
        <v>57</v>
      </c>
      <c r="D160" s="58">
        <v>288</v>
      </c>
      <c r="E160" s="58">
        <v>40</v>
      </c>
      <c r="F160" s="58">
        <v>328</v>
      </c>
      <c r="G160" s="58">
        <v>643</v>
      </c>
      <c r="H160" s="58" t="s">
        <v>55</v>
      </c>
      <c r="I160" s="58">
        <v>51.010886469673409</v>
      </c>
      <c r="J160" s="1" t="s">
        <v>7</v>
      </c>
      <c r="K160" s="58">
        <v>51.010886469673409</v>
      </c>
      <c r="L160" s="58">
        <v>2</v>
      </c>
      <c r="M160" s="58">
        <v>3</v>
      </c>
      <c r="N160" s="58">
        <v>2</v>
      </c>
    </row>
    <row r="161" spans="1:14" x14ac:dyDescent="0.2">
      <c r="A161" s="58" t="s">
        <v>49</v>
      </c>
      <c r="B161" s="58">
        <v>1935</v>
      </c>
      <c r="C161" s="58" t="s">
        <v>57</v>
      </c>
      <c r="D161" s="58">
        <v>171</v>
      </c>
      <c r="E161" s="58">
        <v>65</v>
      </c>
      <c r="F161" s="58">
        <v>236</v>
      </c>
      <c r="G161" s="58">
        <v>414</v>
      </c>
      <c r="H161" s="58" t="s">
        <v>55</v>
      </c>
      <c r="I161" s="58">
        <v>57.004830917874393</v>
      </c>
      <c r="J161" s="1" t="s">
        <v>7</v>
      </c>
      <c r="K161" s="58">
        <v>57.004830917874393</v>
      </c>
      <c r="L161" s="58">
        <v>2</v>
      </c>
      <c r="M161" s="58">
        <v>3</v>
      </c>
      <c r="N161" s="58">
        <v>2</v>
      </c>
    </row>
    <row r="162" spans="1:14" x14ac:dyDescent="0.2">
      <c r="A162" s="58" t="s">
        <v>49</v>
      </c>
      <c r="B162" s="58">
        <v>1994</v>
      </c>
      <c r="C162" s="58" t="s">
        <v>57</v>
      </c>
      <c r="D162" s="58">
        <v>204</v>
      </c>
      <c r="E162" s="58">
        <v>216</v>
      </c>
      <c r="F162" s="58">
        <v>420</v>
      </c>
      <c r="G162" s="58">
        <v>715</v>
      </c>
      <c r="H162" s="58" t="s">
        <v>55</v>
      </c>
      <c r="I162" s="58">
        <v>58.74125874125874</v>
      </c>
      <c r="J162" s="1" t="s">
        <v>7</v>
      </c>
      <c r="K162" s="58">
        <v>58.74125874125874</v>
      </c>
      <c r="L162" s="58">
        <v>2</v>
      </c>
      <c r="M162" s="58">
        <v>3</v>
      </c>
      <c r="N162" s="58">
        <v>2</v>
      </c>
    </row>
    <row r="163" spans="1:14" x14ac:dyDescent="0.2">
      <c r="A163" s="58" t="s">
        <v>49</v>
      </c>
      <c r="B163" s="58">
        <v>2023</v>
      </c>
      <c r="C163" s="58" t="s">
        <v>57</v>
      </c>
      <c r="D163" s="58">
        <v>0</v>
      </c>
      <c r="E163" s="58">
        <v>328</v>
      </c>
      <c r="F163" s="58">
        <v>328</v>
      </c>
      <c r="G163" s="58">
        <v>472</v>
      </c>
      <c r="H163" s="58" t="s">
        <v>55</v>
      </c>
      <c r="I163" s="58">
        <v>69.491525423728817</v>
      </c>
      <c r="J163" s="1" t="s">
        <v>7</v>
      </c>
      <c r="K163" s="58">
        <v>69.491525423728817</v>
      </c>
      <c r="L163" s="58">
        <v>2</v>
      </c>
      <c r="M163" s="58">
        <v>3</v>
      </c>
      <c r="N163" s="58">
        <v>2</v>
      </c>
    </row>
    <row r="164" spans="1:14" x14ac:dyDescent="0.2">
      <c r="A164" s="58" t="s">
        <v>49</v>
      </c>
      <c r="B164" s="58">
        <v>2666</v>
      </c>
      <c r="C164" s="58" t="s">
        <v>57</v>
      </c>
      <c r="D164" s="58">
        <v>300</v>
      </c>
      <c r="E164" s="58">
        <v>0</v>
      </c>
      <c r="F164" s="58">
        <v>300</v>
      </c>
      <c r="G164" s="58">
        <v>476</v>
      </c>
      <c r="H164" s="58" t="s">
        <v>55</v>
      </c>
      <c r="I164" s="58">
        <v>63.02521008403361</v>
      </c>
      <c r="J164" s="1" t="s">
        <v>7</v>
      </c>
      <c r="K164" s="58">
        <v>63.02521008403361</v>
      </c>
      <c r="L164" s="58">
        <v>2</v>
      </c>
      <c r="M164" s="58">
        <v>3</v>
      </c>
      <c r="N164" s="58">
        <v>2</v>
      </c>
    </row>
    <row r="165" spans="1:14" x14ac:dyDescent="0.2">
      <c r="A165" s="58" t="s">
        <v>49</v>
      </c>
      <c r="B165" s="58">
        <v>2806</v>
      </c>
      <c r="C165" s="58" t="s">
        <v>57</v>
      </c>
      <c r="D165" s="58">
        <v>358</v>
      </c>
      <c r="E165" s="58">
        <v>0</v>
      </c>
      <c r="F165" s="58">
        <v>358</v>
      </c>
      <c r="G165" s="58">
        <v>430</v>
      </c>
      <c r="H165" s="58" t="s">
        <v>55</v>
      </c>
      <c r="I165" s="58">
        <v>83.255813953488371</v>
      </c>
      <c r="J165" s="1" t="s">
        <v>8</v>
      </c>
      <c r="K165" s="58">
        <v>83.255813953488371</v>
      </c>
      <c r="L165" s="58">
        <v>3</v>
      </c>
      <c r="M165" s="58">
        <v>3</v>
      </c>
      <c r="N165" s="58">
        <v>2</v>
      </c>
    </row>
    <row r="166" spans="1:14" x14ac:dyDescent="0.2">
      <c r="A166" s="58" t="s">
        <v>49</v>
      </c>
      <c r="B166" s="58">
        <v>2905</v>
      </c>
      <c r="C166" s="58" t="s">
        <v>57</v>
      </c>
      <c r="D166" s="58">
        <v>191</v>
      </c>
      <c r="E166" s="58">
        <v>172</v>
      </c>
      <c r="F166" s="58">
        <v>363</v>
      </c>
      <c r="G166" s="58">
        <v>437</v>
      </c>
      <c r="H166" s="58" t="s">
        <v>55</v>
      </c>
      <c r="I166" s="58">
        <v>83.066361556064066</v>
      </c>
      <c r="J166" s="1" t="s">
        <v>8</v>
      </c>
      <c r="K166" s="58">
        <v>83.066361556064066</v>
      </c>
      <c r="L166" s="58">
        <v>3</v>
      </c>
      <c r="M166" s="58">
        <v>3</v>
      </c>
      <c r="N166" s="58">
        <v>2</v>
      </c>
    </row>
    <row r="167" spans="1:14" x14ac:dyDescent="0.2">
      <c r="A167" s="58" t="s">
        <v>49</v>
      </c>
      <c r="B167" s="58">
        <v>1614</v>
      </c>
      <c r="C167" s="58" t="s">
        <v>57</v>
      </c>
      <c r="D167" s="58">
        <v>295</v>
      </c>
      <c r="E167" s="58">
        <v>110</v>
      </c>
      <c r="F167" s="58">
        <v>405</v>
      </c>
      <c r="G167" s="58">
        <v>517</v>
      </c>
      <c r="H167" s="58" t="s">
        <v>55</v>
      </c>
      <c r="I167" s="58">
        <v>78.336557059961322</v>
      </c>
      <c r="J167" s="1" t="s">
        <v>8</v>
      </c>
      <c r="K167" s="58">
        <v>78.336557059961322</v>
      </c>
      <c r="L167" s="58">
        <v>3</v>
      </c>
      <c r="M167" s="58">
        <v>3</v>
      </c>
      <c r="N167" s="58">
        <v>2</v>
      </c>
    </row>
    <row r="168" spans="1:14" x14ac:dyDescent="0.2">
      <c r="A168" s="58" t="s">
        <v>49</v>
      </c>
      <c r="B168" s="58">
        <v>1688</v>
      </c>
      <c r="C168" s="58" t="s">
        <v>57</v>
      </c>
      <c r="D168" s="58">
        <v>210</v>
      </c>
      <c r="E168" s="58">
        <v>86</v>
      </c>
      <c r="F168" s="58">
        <v>296</v>
      </c>
      <c r="G168" s="58">
        <v>360</v>
      </c>
      <c r="H168" s="58" t="s">
        <v>55</v>
      </c>
      <c r="I168" s="58">
        <v>82.222222222222214</v>
      </c>
      <c r="J168" s="1" t="s">
        <v>8</v>
      </c>
      <c r="K168" s="58">
        <v>82.222222222222214</v>
      </c>
      <c r="L168" s="58">
        <v>3</v>
      </c>
      <c r="M168" s="58">
        <v>3</v>
      </c>
      <c r="N168" s="58">
        <v>2</v>
      </c>
    </row>
    <row r="169" spans="1:14" x14ac:dyDescent="0.2">
      <c r="A169" s="58" t="s">
        <v>49</v>
      </c>
      <c r="B169" s="58">
        <v>2088</v>
      </c>
      <c r="C169" s="58" t="s">
        <v>57</v>
      </c>
      <c r="D169" s="58">
        <v>0</v>
      </c>
      <c r="E169" s="58">
        <v>273</v>
      </c>
      <c r="F169" s="58">
        <v>273</v>
      </c>
      <c r="G169" s="58">
        <v>333</v>
      </c>
      <c r="H169" s="58" t="s">
        <v>55</v>
      </c>
      <c r="I169" s="58">
        <v>81.981981981981974</v>
      </c>
      <c r="J169" s="1" t="s">
        <v>8</v>
      </c>
      <c r="K169" s="58">
        <v>81.981981981981974</v>
      </c>
      <c r="L169" s="58">
        <v>3</v>
      </c>
      <c r="M169" s="58">
        <v>3</v>
      </c>
      <c r="N169" s="58">
        <v>2</v>
      </c>
    </row>
    <row r="170" spans="1:14" x14ac:dyDescent="0.2">
      <c r="A170" s="58" t="s">
        <v>49</v>
      </c>
      <c r="B170" s="58">
        <v>2912</v>
      </c>
      <c r="C170" s="58" t="s">
        <v>57</v>
      </c>
      <c r="D170" s="58">
        <v>238</v>
      </c>
      <c r="E170" s="58">
        <v>0</v>
      </c>
      <c r="F170" s="58">
        <v>238</v>
      </c>
      <c r="G170" s="58">
        <v>312</v>
      </c>
      <c r="H170" s="58" t="s">
        <v>55</v>
      </c>
      <c r="I170" s="58">
        <v>76.28205128205127</v>
      </c>
      <c r="J170" s="1" t="s">
        <v>8</v>
      </c>
      <c r="K170" s="58">
        <v>76.28205128205127</v>
      </c>
      <c r="L170" s="58">
        <v>3</v>
      </c>
      <c r="M170" s="58">
        <v>3</v>
      </c>
      <c r="N170" s="58">
        <v>2</v>
      </c>
    </row>
    <row r="171" spans="1:14" x14ac:dyDescent="0.2">
      <c r="A171" s="58" t="s">
        <v>49</v>
      </c>
      <c r="B171" s="58">
        <v>1709</v>
      </c>
      <c r="C171" s="58" t="s">
        <v>57</v>
      </c>
      <c r="D171" s="58">
        <v>233</v>
      </c>
      <c r="E171" s="58">
        <v>180</v>
      </c>
      <c r="F171" s="58">
        <v>413</v>
      </c>
      <c r="G171" s="58">
        <v>413</v>
      </c>
      <c r="H171" s="58" t="s">
        <v>55</v>
      </c>
      <c r="I171" s="58">
        <v>100</v>
      </c>
      <c r="J171" s="2">
        <v>1</v>
      </c>
      <c r="K171" s="58">
        <v>100</v>
      </c>
      <c r="L171" s="58">
        <v>4</v>
      </c>
      <c r="M171" s="58">
        <v>3</v>
      </c>
      <c r="N171" s="58">
        <v>2</v>
      </c>
    </row>
    <row r="172" spans="1:14" x14ac:dyDescent="0.2">
      <c r="A172" s="58" t="s">
        <v>49</v>
      </c>
      <c r="B172" s="58">
        <v>2904</v>
      </c>
      <c r="C172" s="58" t="s">
        <v>57</v>
      </c>
      <c r="D172" s="58">
        <v>403</v>
      </c>
      <c r="E172" s="58">
        <v>0</v>
      </c>
      <c r="F172" s="58">
        <v>403</v>
      </c>
      <c r="G172" s="58">
        <v>353</v>
      </c>
      <c r="H172" s="58" t="s">
        <v>55</v>
      </c>
      <c r="I172" s="58">
        <v>114.16430594900851</v>
      </c>
      <c r="J172" s="2">
        <v>1</v>
      </c>
      <c r="K172" s="58">
        <v>100</v>
      </c>
      <c r="L172" s="58">
        <v>4</v>
      </c>
      <c r="M172" s="58">
        <v>3</v>
      </c>
      <c r="N172" s="58">
        <v>2</v>
      </c>
    </row>
    <row r="173" spans="1:14" x14ac:dyDescent="0.2">
      <c r="A173" s="58" t="s">
        <v>49</v>
      </c>
      <c r="B173" s="58">
        <v>3209</v>
      </c>
      <c r="C173" s="58" t="s">
        <v>58</v>
      </c>
      <c r="D173" s="58">
        <v>0</v>
      </c>
      <c r="E173" s="58">
        <v>38</v>
      </c>
      <c r="F173" s="58">
        <v>38</v>
      </c>
      <c r="G173" s="58">
        <v>77</v>
      </c>
      <c r="H173" s="58" t="s">
        <v>53</v>
      </c>
      <c r="I173" s="58">
        <v>49.350649350649348</v>
      </c>
      <c r="J173" s="1" t="s">
        <v>6</v>
      </c>
      <c r="K173" s="58">
        <v>49.350649350649348</v>
      </c>
      <c r="L173" s="1">
        <v>1</v>
      </c>
      <c r="M173" s="58">
        <v>1</v>
      </c>
      <c r="N173" s="58">
        <v>3</v>
      </c>
    </row>
    <row r="174" spans="1:14" x14ac:dyDescent="0.2">
      <c r="A174" s="58" t="s">
        <v>49</v>
      </c>
      <c r="B174" s="58">
        <v>3048</v>
      </c>
      <c r="C174" s="58" t="s">
        <v>58</v>
      </c>
      <c r="D174" s="58">
        <v>0</v>
      </c>
      <c r="E174" s="58">
        <v>40</v>
      </c>
      <c r="F174" s="58">
        <v>40</v>
      </c>
      <c r="G174" s="58">
        <v>77</v>
      </c>
      <c r="H174" s="58" t="s">
        <v>53</v>
      </c>
      <c r="I174" s="58">
        <v>51.94805194805194</v>
      </c>
      <c r="J174" s="1" t="s">
        <v>7</v>
      </c>
      <c r="K174" s="58">
        <v>51.94805194805194</v>
      </c>
      <c r="L174" s="58">
        <v>2</v>
      </c>
      <c r="M174" s="58">
        <v>1</v>
      </c>
      <c r="N174" s="58">
        <v>3</v>
      </c>
    </row>
    <row r="175" spans="1:14" x14ac:dyDescent="0.2">
      <c r="A175" s="58" t="s">
        <v>49</v>
      </c>
      <c r="B175" s="58">
        <v>3204</v>
      </c>
      <c r="C175" s="58" t="s">
        <v>58</v>
      </c>
      <c r="D175" s="58">
        <v>87</v>
      </c>
      <c r="E175" s="58">
        <v>0</v>
      </c>
      <c r="F175" s="58">
        <v>87</v>
      </c>
      <c r="G175" s="58">
        <v>131</v>
      </c>
      <c r="H175" s="58" t="s">
        <v>53</v>
      </c>
      <c r="I175" s="58">
        <v>66.412213740458014</v>
      </c>
      <c r="J175" s="1" t="s">
        <v>7</v>
      </c>
      <c r="K175" s="58">
        <v>66.412213740458014</v>
      </c>
      <c r="L175" s="58">
        <v>2</v>
      </c>
      <c r="M175" s="58">
        <v>1</v>
      </c>
      <c r="N175" s="58">
        <v>3</v>
      </c>
    </row>
    <row r="176" spans="1:14" x14ac:dyDescent="0.2">
      <c r="A176" s="58" t="s">
        <v>49</v>
      </c>
      <c r="B176" s="58">
        <v>3664</v>
      </c>
      <c r="C176" s="58" t="s">
        <v>58</v>
      </c>
      <c r="D176" s="58">
        <v>65</v>
      </c>
      <c r="E176" s="58">
        <v>0</v>
      </c>
      <c r="F176" s="58">
        <v>65</v>
      </c>
      <c r="G176" s="58">
        <v>75</v>
      </c>
      <c r="H176" s="58" t="s">
        <v>53</v>
      </c>
      <c r="I176" s="58">
        <v>86.666666666666671</v>
      </c>
      <c r="J176" s="1" t="s">
        <v>8</v>
      </c>
      <c r="K176" s="58">
        <v>86.666666666666671</v>
      </c>
      <c r="L176" s="58">
        <v>3</v>
      </c>
      <c r="M176" s="58">
        <v>1</v>
      </c>
      <c r="N176" s="58">
        <v>3</v>
      </c>
    </row>
    <row r="177" spans="1:14" x14ac:dyDescent="0.2">
      <c r="A177" s="58" t="s">
        <v>49</v>
      </c>
      <c r="B177" s="58">
        <v>3271</v>
      </c>
      <c r="C177" s="58" t="s">
        <v>58</v>
      </c>
      <c r="D177" s="58">
        <v>0</v>
      </c>
      <c r="E177" s="58">
        <v>72</v>
      </c>
      <c r="F177" s="58">
        <v>72</v>
      </c>
      <c r="G177" s="58">
        <v>76</v>
      </c>
      <c r="H177" s="58" t="s">
        <v>53</v>
      </c>
      <c r="I177" s="58">
        <v>94.73684210526315</v>
      </c>
      <c r="J177" s="1" t="s">
        <v>8</v>
      </c>
      <c r="K177" s="58">
        <v>94.73684210526315</v>
      </c>
      <c r="L177" s="58">
        <v>3</v>
      </c>
      <c r="M177" s="58">
        <v>1</v>
      </c>
      <c r="N177" s="58">
        <v>3</v>
      </c>
    </row>
    <row r="178" spans="1:14" x14ac:dyDescent="0.2">
      <c r="A178" s="58" t="s">
        <v>49</v>
      </c>
      <c r="B178" s="58">
        <v>3071</v>
      </c>
      <c r="C178" s="58" t="s">
        <v>58</v>
      </c>
      <c r="D178" s="58">
        <v>7</v>
      </c>
      <c r="E178" s="58">
        <v>18</v>
      </c>
      <c r="F178" s="58">
        <v>25</v>
      </c>
      <c r="G178" s="58">
        <v>25</v>
      </c>
      <c r="H178" s="58" t="s">
        <v>53</v>
      </c>
      <c r="I178" s="58">
        <v>100</v>
      </c>
      <c r="J178" s="2">
        <v>1</v>
      </c>
      <c r="K178" s="58">
        <v>100</v>
      </c>
      <c r="L178" s="58">
        <v>4</v>
      </c>
      <c r="M178" s="58">
        <v>1</v>
      </c>
      <c r="N178" s="58">
        <v>3</v>
      </c>
    </row>
    <row r="179" spans="1:14" x14ac:dyDescent="0.2">
      <c r="A179" s="58" t="s">
        <v>49</v>
      </c>
      <c r="B179" s="58">
        <v>3080</v>
      </c>
      <c r="C179" s="58" t="s">
        <v>58</v>
      </c>
      <c r="D179" s="58">
        <v>70</v>
      </c>
      <c r="E179" s="58">
        <v>0</v>
      </c>
      <c r="F179" s="58">
        <v>70</v>
      </c>
      <c r="G179" s="58">
        <v>70</v>
      </c>
      <c r="H179" s="58" t="s">
        <v>53</v>
      </c>
      <c r="I179" s="58">
        <v>100</v>
      </c>
      <c r="J179" s="2">
        <v>1</v>
      </c>
      <c r="K179" s="58">
        <v>100</v>
      </c>
      <c r="L179" s="58">
        <v>4</v>
      </c>
      <c r="M179" s="58">
        <v>1</v>
      </c>
      <c r="N179" s="58">
        <v>3</v>
      </c>
    </row>
    <row r="180" spans="1:14" x14ac:dyDescent="0.2">
      <c r="A180" s="58" t="s">
        <v>49</v>
      </c>
      <c r="B180" s="58">
        <v>3145</v>
      </c>
      <c r="C180" s="58" t="s">
        <v>58</v>
      </c>
      <c r="D180" s="58">
        <v>70</v>
      </c>
      <c r="E180" s="58">
        <v>0</v>
      </c>
      <c r="F180" s="58">
        <v>70</v>
      </c>
      <c r="G180" s="58">
        <v>70</v>
      </c>
      <c r="H180" s="58" t="s">
        <v>53</v>
      </c>
      <c r="I180" s="58">
        <v>100</v>
      </c>
      <c r="J180" s="2">
        <v>1</v>
      </c>
      <c r="K180" s="58">
        <v>100</v>
      </c>
      <c r="L180" s="58">
        <v>4</v>
      </c>
      <c r="M180" s="58">
        <v>1</v>
      </c>
      <c r="N180" s="58">
        <v>3</v>
      </c>
    </row>
    <row r="181" spans="1:14" x14ac:dyDescent="0.2">
      <c r="A181" s="58" t="s">
        <v>49</v>
      </c>
      <c r="B181" s="58">
        <v>3535</v>
      </c>
      <c r="C181" s="58" t="s">
        <v>58</v>
      </c>
      <c r="D181" s="58">
        <v>14</v>
      </c>
      <c r="E181" s="58">
        <v>0</v>
      </c>
      <c r="F181" s="58">
        <v>14</v>
      </c>
      <c r="G181" s="58">
        <v>14</v>
      </c>
      <c r="H181" s="58" t="s">
        <v>53</v>
      </c>
      <c r="I181" s="58">
        <v>100</v>
      </c>
      <c r="J181" s="2">
        <v>1</v>
      </c>
      <c r="K181" s="58">
        <v>100</v>
      </c>
      <c r="L181" s="58">
        <v>4</v>
      </c>
      <c r="M181" s="58">
        <v>1</v>
      </c>
      <c r="N181" s="58">
        <v>3</v>
      </c>
    </row>
    <row r="182" spans="1:14" x14ac:dyDescent="0.2">
      <c r="A182" s="58" t="s">
        <v>49</v>
      </c>
      <c r="B182" s="58">
        <v>3599</v>
      </c>
      <c r="C182" s="58" t="s">
        <v>58</v>
      </c>
      <c r="D182" s="58">
        <v>25</v>
      </c>
      <c r="E182" s="58">
        <v>116</v>
      </c>
      <c r="F182" s="58">
        <v>141</v>
      </c>
      <c r="G182" s="58">
        <v>141</v>
      </c>
      <c r="H182" s="58" t="s">
        <v>53</v>
      </c>
      <c r="I182" s="58">
        <v>100</v>
      </c>
      <c r="J182" s="2">
        <v>1</v>
      </c>
      <c r="K182" s="58">
        <v>100</v>
      </c>
      <c r="L182" s="58">
        <v>4</v>
      </c>
      <c r="M182" s="58">
        <v>1</v>
      </c>
      <c r="N182" s="58">
        <v>3</v>
      </c>
    </row>
    <row r="183" spans="1:14" x14ac:dyDescent="0.2">
      <c r="A183" s="58" t="s">
        <v>49</v>
      </c>
      <c r="B183" s="58">
        <v>3643</v>
      </c>
      <c r="C183" s="58" t="s">
        <v>58</v>
      </c>
      <c r="D183" s="58">
        <v>0</v>
      </c>
      <c r="E183" s="58">
        <v>63</v>
      </c>
      <c r="F183" s="58">
        <v>63</v>
      </c>
      <c r="G183" s="58">
        <v>63</v>
      </c>
      <c r="H183" s="58" t="s">
        <v>53</v>
      </c>
      <c r="I183" s="58">
        <v>100</v>
      </c>
      <c r="J183" s="2">
        <v>1</v>
      </c>
      <c r="K183" s="58">
        <v>100</v>
      </c>
      <c r="L183" s="58">
        <v>4</v>
      </c>
      <c r="M183" s="58">
        <v>1</v>
      </c>
      <c r="N183" s="58">
        <v>3</v>
      </c>
    </row>
    <row r="184" spans="1:14" x14ac:dyDescent="0.2">
      <c r="A184" s="58" t="s">
        <v>49</v>
      </c>
      <c r="B184" s="58">
        <v>3751</v>
      </c>
      <c r="C184" s="58" t="s">
        <v>58</v>
      </c>
      <c r="D184" s="58">
        <v>24</v>
      </c>
      <c r="E184" s="58">
        <v>0</v>
      </c>
      <c r="F184" s="58">
        <v>24</v>
      </c>
      <c r="G184" s="58">
        <v>24</v>
      </c>
      <c r="H184" s="58" t="s">
        <v>53</v>
      </c>
      <c r="I184" s="58">
        <v>100</v>
      </c>
      <c r="J184" s="2">
        <v>1</v>
      </c>
      <c r="K184" s="58">
        <v>100</v>
      </c>
      <c r="L184" s="58">
        <v>4</v>
      </c>
      <c r="M184" s="58">
        <v>1</v>
      </c>
      <c r="N184" s="58">
        <v>3</v>
      </c>
    </row>
    <row r="185" spans="1:14" x14ac:dyDescent="0.2">
      <c r="A185" s="58" t="s">
        <v>49</v>
      </c>
      <c r="B185" s="58">
        <v>3824</v>
      </c>
      <c r="C185" s="58" t="s">
        <v>58</v>
      </c>
      <c r="D185" s="58">
        <v>0</v>
      </c>
      <c r="E185" s="58">
        <v>69</v>
      </c>
      <c r="F185" s="58">
        <v>69</v>
      </c>
      <c r="G185" s="58">
        <v>69</v>
      </c>
      <c r="H185" s="58" t="s">
        <v>53</v>
      </c>
      <c r="I185" s="58">
        <v>100</v>
      </c>
      <c r="J185" s="2">
        <v>1</v>
      </c>
      <c r="K185" s="58">
        <v>100</v>
      </c>
      <c r="L185" s="58">
        <v>4</v>
      </c>
      <c r="M185" s="58">
        <v>1</v>
      </c>
      <c r="N185" s="58">
        <v>3</v>
      </c>
    </row>
    <row r="186" spans="1:14" x14ac:dyDescent="0.2">
      <c r="A186" s="58" t="s">
        <v>49</v>
      </c>
      <c r="B186" s="58">
        <v>3839</v>
      </c>
      <c r="C186" s="58" t="s">
        <v>58</v>
      </c>
      <c r="D186" s="58">
        <v>95</v>
      </c>
      <c r="E186" s="58">
        <v>0</v>
      </c>
      <c r="F186" s="58">
        <v>95</v>
      </c>
      <c r="G186" s="58">
        <v>95</v>
      </c>
      <c r="H186" s="58" t="s">
        <v>53</v>
      </c>
      <c r="I186" s="58">
        <v>100</v>
      </c>
      <c r="J186" s="2">
        <v>1</v>
      </c>
      <c r="K186" s="58">
        <v>100</v>
      </c>
      <c r="L186" s="58">
        <v>4</v>
      </c>
      <c r="M186" s="58">
        <v>1</v>
      </c>
      <c r="N186" s="58">
        <v>3</v>
      </c>
    </row>
    <row r="187" spans="1:14" x14ac:dyDescent="0.2">
      <c r="A187" s="58" t="s">
        <v>49</v>
      </c>
      <c r="B187" s="58">
        <v>3976</v>
      </c>
      <c r="C187" s="58" t="s">
        <v>58</v>
      </c>
      <c r="D187" s="58">
        <v>44</v>
      </c>
      <c r="E187" s="58">
        <v>2</v>
      </c>
      <c r="F187" s="58">
        <v>46</v>
      </c>
      <c r="G187" s="58">
        <v>46</v>
      </c>
      <c r="H187" s="58" t="s">
        <v>53</v>
      </c>
      <c r="I187" s="58">
        <v>100</v>
      </c>
      <c r="J187" s="2">
        <v>1</v>
      </c>
      <c r="K187" s="58">
        <v>100</v>
      </c>
      <c r="L187" s="58">
        <v>4</v>
      </c>
      <c r="M187" s="58">
        <v>1</v>
      </c>
      <c r="N187" s="58">
        <v>3</v>
      </c>
    </row>
    <row r="188" spans="1:14" x14ac:dyDescent="0.2">
      <c r="A188" s="58" t="s">
        <v>49</v>
      </c>
      <c r="B188" s="58">
        <v>4022</v>
      </c>
      <c r="C188" s="58" t="s">
        <v>58</v>
      </c>
      <c r="D188" s="58">
        <v>0</v>
      </c>
      <c r="E188" s="58">
        <v>116</v>
      </c>
      <c r="F188" s="58">
        <v>116</v>
      </c>
      <c r="G188" s="58">
        <v>116</v>
      </c>
      <c r="H188" s="58" t="s">
        <v>53</v>
      </c>
      <c r="I188" s="58">
        <v>100</v>
      </c>
      <c r="J188" s="2">
        <v>1</v>
      </c>
      <c r="K188" s="58">
        <v>100</v>
      </c>
      <c r="L188" s="58">
        <v>4</v>
      </c>
      <c r="M188" s="58">
        <v>1</v>
      </c>
      <c r="N188" s="58">
        <v>3</v>
      </c>
    </row>
    <row r="189" spans="1:14" x14ac:dyDescent="0.2">
      <c r="A189" s="58" t="s">
        <v>49</v>
      </c>
      <c r="B189" s="58">
        <v>4298</v>
      </c>
      <c r="C189" s="58" t="s">
        <v>58</v>
      </c>
      <c r="D189" s="58">
        <v>18</v>
      </c>
      <c r="E189" s="58">
        <v>0</v>
      </c>
      <c r="F189" s="58">
        <v>18</v>
      </c>
      <c r="G189" s="58">
        <v>18</v>
      </c>
      <c r="H189" s="58" t="s">
        <v>53</v>
      </c>
      <c r="I189" s="58">
        <v>100</v>
      </c>
      <c r="J189" s="2">
        <v>1</v>
      </c>
      <c r="K189" s="58">
        <v>100</v>
      </c>
      <c r="L189" s="58">
        <v>4</v>
      </c>
      <c r="M189" s="58">
        <v>1</v>
      </c>
      <c r="N189" s="58">
        <v>3</v>
      </c>
    </row>
    <row r="190" spans="1:14" x14ac:dyDescent="0.2">
      <c r="A190" s="58" t="s">
        <v>49</v>
      </c>
      <c r="B190" s="58">
        <v>4299</v>
      </c>
      <c r="C190" s="58" t="s">
        <v>58</v>
      </c>
      <c r="D190" s="58">
        <v>107</v>
      </c>
      <c r="E190" s="58">
        <v>0</v>
      </c>
      <c r="F190" s="58">
        <v>107</v>
      </c>
      <c r="G190" s="58">
        <v>107</v>
      </c>
      <c r="H190" s="58" t="s">
        <v>53</v>
      </c>
      <c r="I190" s="58">
        <v>100</v>
      </c>
      <c r="J190" s="2">
        <v>1</v>
      </c>
      <c r="K190" s="58">
        <v>100</v>
      </c>
      <c r="L190" s="58">
        <v>4</v>
      </c>
      <c r="M190" s="58">
        <v>1</v>
      </c>
      <c r="N190" s="58">
        <v>3</v>
      </c>
    </row>
    <row r="191" spans="1:14" x14ac:dyDescent="0.2">
      <c r="A191" s="58" t="s">
        <v>49</v>
      </c>
      <c r="B191" s="58">
        <v>4349</v>
      </c>
      <c r="C191" s="58" t="s">
        <v>58</v>
      </c>
      <c r="D191" s="58">
        <v>40</v>
      </c>
      <c r="E191" s="58">
        <v>0</v>
      </c>
      <c r="F191" s="58">
        <v>40</v>
      </c>
      <c r="G191" s="58">
        <v>40</v>
      </c>
      <c r="H191" s="58" t="s">
        <v>53</v>
      </c>
      <c r="I191" s="58">
        <v>100</v>
      </c>
      <c r="J191" s="2">
        <v>1</v>
      </c>
      <c r="K191" s="58">
        <v>100</v>
      </c>
      <c r="L191" s="58">
        <v>4</v>
      </c>
      <c r="M191" s="58">
        <v>1</v>
      </c>
      <c r="N191" s="58">
        <v>3</v>
      </c>
    </row>
    <row r="192" spans="1:14" x14ac:dyDescent="0.2">
      <c r="A192" s="58" t="s">
        <v>49</v>
      </c>
      <c r="B192" s="58">
        <v>4515</v>
      </c>
      <c r="C192" s="58" t="s">
        <v>58</v>
      </c>
      <c r="D192" s="58">
        <v>43</v>
      </c>
      <c r="E192" s="58">
        <v>0</v>
      </c>
      <c r="F192" s="58">
        <v>43</v>
      </c>
      <c r="G192" s="58">
        <v>43</v>
      </c>
      <c r="H192" s="58" t="s">
        <v>53</v>
      </c>
      <c r="I192" s="58">
        <v>100</v>
      </c>
      <c r="J192" s="2">
        <v>1</v>
      </c>
      <c r="K192" s="58">
        <v>100</v>
      </c>
      <c r="L192" s="58">
        <v>4</v>
      </c>
      <c r="M192" s="58">
        <v>1</v>
      </c>
      <c r="N192" s="58">
        <v>3</v>
      </c>
    </row>
    <row r="193" spans="1:14" x14ac:dyDescent="0.2">
      <c r="A193" s="58" t="s">
        <v>49</v>
      </c>
      <c r="B193" s="58">
        <v>3161</v>
      </c>
      <c r="C193" s="58" t="s">
        <v>58</v>
      </c>
      <c r="D193" s="58">
        <v>163</v>
      </c>
      <c r="E193" s="58">
        <v>0</v>
      </c>
      <c r="F193" s="58">
        <v>163</v>
      </c>
      <c r="G193" s="58">
        <v>148</v>
      </c>
      <c r="H193" s="58" t="s">
        <v>53</v>
      </c>
      <c r="I193" s="58">
        <v>110.13513513513513</v>
      </c>
      <c r="J193" s="2">
        <v>1</v>
      </c>
      <c r="K193" s="58">
        <v>100</v>
      </c>
      <c r="L193" s="58">
        <v>4</v>
      </c>
      <c r="M193" s="58">
        <v>1</v>
      </c>
      <c r="N193" s="58">
        <v>3</v>
      </c>
    </row>
    <row r="194" spans="1:14" x14ac:dyDescent="0.2">
      <c r="A194" s="58" t="s">
        <v>49</v>
      </c>
      <c r="B194" s="58">
        <v>3218</v>
      </c>
      <c r="C194" s="58" t="s">
        <v>58</v>
      </c>
      <c r="D194" s="58">
        <v>73</v>
      </c>
      <c r="E194" s="58">
        <v>0</v>
      </c>
      <c r="F194" s="58">
        <v>73</v>
      </c>
      <c r="G194" s="58">
        <v>73</v>
      </c>
      <c r="H194" s="58" t="s">
        <v>53</v>
      </c>
      <c r="I194" s="58">
        <v>100</v>
      </c>
      <c r="J194" s="2">
        <v>1</v>
      </c>
      <c r="K194" s="58">
        <v>100</v>
      </c>
      <c r="L194" s="58">
        <v>4</v>
      </c>
      <c r="M194" s="58">
        <v>1</v>
      </c>
      <c r="N194" s="58">
        <v>3</v>
      </c>
    </row>
    <row r="195" spans="1:14" x14ac:dyDescent="0.2">
      <c r="A195" s="58" t="s">
        <v>49</v>
      </c>
      <c r="B195" s="58">
        <v>3382</v>
      </c>
      <c r="C195" s="58" t="s">
        <v>58</v>
      </c>
      <c r="D195" s="58">
        <v>0</v>
      </c>
      <c r="E195" s="58">
        <v>84</v>
      </c>
      <c r="F195" s="58">
        <v>84</v>
      </c>
      <c r="G195" s="58">
        <v>78</v>
      </c>
      <c r="H195" s="58" t="s">
        <v>53</v>
      </c>
      <c r="I195" s="58">
        <v>107.69230769230769</v>
      </c>
      <c r="J195" s="2">
        <v>1</v>
      </c>
      <c r="K195" s="58">
        <v>100</v>
      </c>
      <c r="L195" s="58">
        <v>4</v>
      </c>
      <c r="M195" s="58">
        <v>1</v>
      </c>
      <c r="N195" s="58">
        <v>3</v>
      </c>
    </row>
    <row r="196" spans="1:14" x14ac:dyDescent="0.2">
      <c r="A196" s="58" t="s">
        <v>49</v>
      </c>
      <c r="B196" s="58">
        <v>3602</v>
      </c>
      <c r="C196" s="58" t="s">
        <v>58</v>
      </c>
      <c r="D196" s="58">
        <v>280</v>
      </c>
      <c r="E196" s="58">
        <v>0</v>
      </c>
      <c r="F196" s="58">
        <v>280</v>
      </c>
      <c r="G196" s="58">
        <v>144</v>
      </c>
      <c r="H196" s="58" t="s">
        <v>53</v>
      </c>
      <c r="I196" s="58">
        <v>194.44444444444443</v>
      </c>
      <c r="J196" s="2">
        <v>1</v>
      </c>
      <c r="K196" s="58">
        <v>100</v>
      </c>
      <c r="L196" s="58">
        <v>4</v>
      </c>
      <c r="M196" s="58">
        <v>1</v>
      </c>
      <c r="N196" s="58">
        <v>3</v>
      </c>
    </row>
    <row r="197" spans="1:14" x14ac:dyDescent="0.2">
      <c r="A197" s="58" t="s">
        <v>49</v>
      </c>
      <c r="B197" s="58">
        <v>3810</v>
      </c>
      <c r="C197" s="58" t="s">
        <v>58</v>
      </c>
      <c r="D197" s="58">
        <v>146</v>
      </c>
      <c r="E197" s="58">
        <v>0</v>
      </c>
      <c r="F197" s="58">
        <v>146</v>
      </c>
      <c r="G197" s="58">
        <v>146</v>
      </c>
      <c r="H197" s="58" t="s">
        <v>53</v>
      </c>
      <c r="I197" s="58">
        <v>100</v>
      </c>
      <c r="J197" s="2">
        <v>1</v>
      </c>
      <c r="K197" s="58">
        <v>100</v>
      </c>
      <c r="L197" s="58">
        <v>4</v>
      </c>
      <c r="M197" s="58">
        <v>1</v>
      </c>
      <c r="N197" s="58">
        <v>3</v>
      </c>
    </row>
    <row r="198" spans="1:14" x14ac:dyDescent="0.2">
      <c r="A198" s="58" t="s">
        <v>49</v>
      </c>
      <c r="B198" s="58">
        <v>3139</v>
      </c>
      <c r="C198" s="58" t="s">
        <v>58</v>
      </c>
      <c r="D198" s="58">
        <v>49</v>
      </c>
      <c r="E198" s="58">
        <v>0</v>
      </c>
      <c r="F198" s="58">
        <v>49</v>
      </c>
      <c r="G198" s="58">
        <v>201</v>
      </c>
      <c r="H198" s="58" t="s">
        <v>54</v>
      </c>
      <c r="I198" s="58">
        <v>24.378109452736318</v>
      </c>
      <c r="J198" s="1" t="s">
        <v>6</v>
      </c>
      <c r="K198" s="58">
        <v>24.378109452736318</v>
      </c>
      <c r="L198" s="1">
        <v>1</v>
      </c>
      <c r="M198" s="58">
        <v>2</v>
      </c>
      <c r="N198" s="58">
        <v>3</v>
      </c>
    </row>
    <row r="199" spans="1:14" x14ac:dyDescent="0.2">
      <c r="A199" s="58" t="s">
        <v>49</v>
      </c>
      <c r="B199" s="58">
        <v>3079</v>
      </c>
      <c r="C199" s="58" t="s">
        <v>58</v>
      </c>
      <c r="D199" s="58">
        <v>193</v>
      </c>
      <c r="E199" s="58">
        <v>0</v>
      </c>
      <c r="F199" s="58">
        <v>193</v>
      </c>
      <c r="G199" s="58">
        <v>285</v>
      </c>
      <c r="H199" s="58" t="s">
        <v>54</v>
      </c>
      <c r="I199" s="58">
        <v>67.719298245614041</v>
      </c>
      <c r="J199" s="1" t="s">
        <v>7</v>
      </c>
      <c r="K199" s="58">
        <v>67.719298245614041</v>
      </c>
      <c r="L199" s="58">
        <v>2</v>
      </c>
      <c r="M199" s="58">
        <v>2</v>
      </c>
      <c r="N199" s="58">
        <v>3</v>
      </c>
    </row>
    <row r="200" spans="1:14" x14ac:dyDescent="0.2">
      <c r="A200" s="58" t="s">
        <v>49</v>
      </c>
      <c r="B200" s="58">
        <v>3171</v>
      </c>
      <c r="C200" s="58" t="s">
        <v>58</v>
      </c>
      <c r="D200" s="58">
        <v>116</v>
      </c>
      <c r="E200" s="58">
        <v>24</v>
      </c>
      <c r="F200" s="58">
        <v>140</v>
      </c>
      <c r="G200" s="58">
        <v>220</v>
      </c>
      <c r="H200" s="58" t="s">
        <v>54</v>
      </c>
      <c r="I200" s="58">
        <v>63.636363636363633</v>
      </c>
      <c r="J200" s="1" t="s">
        <v>7</v>
      </c>
      <c r="K200" s="58">
        <v>63.636363636363633</v>
      </c>
      <c r="L200" s="58">
        <v>2</v>
      </c>
      <c r="M200" s="58">
        <v>2</v>
      </c>
      <c r="N200" s="58">
        <v>3</v>
      </c>
    </row>
    <row r="201" spans="1:14" x14ac:dyDescent="0.2">
      <c r="A201" s="58" t="s">
        <v>49</v>
      </c>
      <c r="B201" s="58">
        <v>3821</v>
      </c>
      <c r="C201" s="58" t="s">
        <v>58</v>
      </c>
      <c r="D201" s="58">
        <v>137</v>
      </c>
      <c r="E201" s="58">
        <v>0</v>
      </c>
      <c r="F201" s="58">
        <v>137</v>
      </c>
      <c r="G201" s="58">
        <v>189</v>
      </c>
      <c r="H201" s="58" t="s">
        <v>54</v>
      </c>
      <c r="I201" s="58">
        <v>72.486772486772495</v>
      </c>
      <c r="J201" s="1" t="s">
        <v>7</v>
      </c>
      <c r="K201" s="58">
        <v>72.486772486772495</v>
      </c>
      <c r="L201" s="58">
        <v>2</v>
      </c>
      <c r="M201" s="58">
        <v>2</v>
      </c>
      <c r="N201" s="58">
        <v>3</v>
      </c>
    </row>
    <row r="202" spans="1:14" x14ac:dyDescent="0.2">
      <c r="A202" s="58" t="s">
        <v>49</v>
      </c>
      <c r="B202" s="58">
        <v>3087</v>
      </c>
      <c r="C202" s="58" t="s">
        <v>58</v>
      </c>
      <c r="D202" s="58">
        <v>168</v>
      </c>
      <c r="E202" s="58">
        <v>0</v>
      </c>
      <c r="F202" s="58">
        <v>168</v>
      </c>
      <c r="G202" s="58">
        <v>276</v>
      </c>
      <c r="H202" s="58" t="s">
        <v>54</v>
      </c>
      <c r="I202" s="58">
        <v>60.869565217391312</v>
      </c>
      <c r="J202" s="1" t="s">
        <v>7</v>
      </c>
      <c r="K202" s="58">
        <v>60.869565217391312</v>
      </c>
      <c r="L202" s="58">
        <v>2</v>
      </c>
      <c r="M202" s="58">
        <v>2</v>
      </c>
      <c r="N202" s="58">
        <v>3</v>
      </c>
    </row>
    <row r="203" spans="1:14" x14ac:dyDescent="0.2">
      <c r="A203" s="58" t="s">
        <v>49</v>
      </c>
      <c r="B203" s="58">
        <v>3690</v>
      </c>
      <c r="C203" s="58" t="s">
        <v>58</v>
      </c>
      <c r="D203" s="58">
        <v>133</v>
      </c>
      <c r="E203" s="58">
        <v>0</v>
      </c>
      <c r="F203" s="58">
        <v>133</v>
      </c>
      <c r="G203" s="58">
        <v>204</v>
      </c>
      <c r="H203" s="58" t="s">
        <v>54</v>
      </c>
      <c r="I203" s="58">
        <v>65.196078431372555</v>
      </c>
      <c r="J203" s="1" t="s">
        <v>7</v>
      </c>
      <c r="K203" s="58">
        <v>65.196078431372555</v>
      </c>
      <c r="L203" s="58">
        <v>2</v>
      </c>
      <c r="M203" s="58">
        <v>2</v>
      </c>
      <c r="N203" s="58">
        <v>3</v>
      </c>
    </row>
    <row r="204" spans="1:14" x14ac:dyDescent="0.2">
      <c r="A204" s="58" t="s">
        <v>49</v>
      </c>
      <c r="B204" s="58">
        <v>3197</v>
      </c>
      <c r="C204" s="58" t="s">
        <v>58</v>
      </c>
      <c r="D204" s="58">
        <v>66</v>
      </c>
      <c r="E204" s="58">
        <v>104</v>
      </c>
      <c r="F204" s="58">
        <v>170</v>
      </c>
      <c r="G204" s="58">
        <v>180</v>
      </c>
      <c r="H204" s="58" t="s">
        <v>54</v>
      </c>
      <c r="I204" s="58">
        <v>94.444444444444443</v>
      </c>
      <c r="J204" s="1" t="s">
        <v>8</v>
      </c>
      <c r="K204" s="58">
        <v>94.444444444444443</v>
      </c>
      <c r="L204" s="58">
        <v>3</v>
      </c>
      <c r="M204" s="58">
        <v>2</v>
      </c>
      <c r="N204" s="58">
        <v>3</v>
      </c>
    </row>
    <row r="205" spans="1:14" x14ac:dyDescent="0.2">
      <c r="A205" s="58" t="s">
        <v>49</v>
      </c>
      <c r="B205" s="58">
        <v>3214</v>
      </c>
      <c r="C205" s="58" t="s">
        <v>58</v>
      </c>
      <c r="D205" s="58">
        <v>159</v>
      </c>
      <c r="E205" s="58">
        <v>21</v>
      </c>
      <c r="F205" s="58">
        <v>180</v>
      </c>
      <c r="G205" s="58">
        <v>200</v>
      </c>
      <c r="H205" s="58" t="s">
        <v>54</v>
      </c>
      <c r="I205" s="58">
        <v>90</v>
      </c>
      <c r="J205" s="2">
        <v>1</v>
      </c>
      <c r="K205" s="58">
        <v>90</v>
      </c>
      <c r="L205" s="58">
        <v>3</v>
      </c>
      <c r="M205" s="58">
        <v>2</v>
      </c>
      <c r="N205" s="58">
        <v>3</v>
      </c>
    </row>
    <row r="206" spans="1:14" x14ac:dyDescent="0.2">
      <c r="A206" s="58" t="s">
        <v>49</v>
      </c>
      <c r="B206" s="58">
        <v>3227</v>
      </c>
      <c r="C206" s="58" t="s">
        <v>58</v>
      </c>
      <c r="D206" s="58">
        <v>113</v>
      </c>
      <c r="E206" s="58">
        <v>47</v>
      </c>
      <c r="F206" s="58">
        <v>160</v>
      </c>
      <c r="G206" s="58">
        <v>195</v>
      </c>
      <c r="H206" s="58" t="s">
        <v>54</v>
      </c>
      <c r="I206" s="58">
        <v>82.051282051282044</v>
      </c>
      <c r="J206" s="1" t="s">
        <v>8</v>
      </c>
      <c r="K206" s="58">
        <v>82.051282051282044</v>
      </c>
      <c r="L206" s="58">
        <v>3</v>
      </c>
      <c r="M206" s="58">
        <v>2</v>
      </c>
      <c r="N206" s="58">
        <v>3</v>
      </c>
    </row>
    <row r="207" spans="1:14" x14ac:dyDescent="0.2">
      <c r="A207" s="58" t="s">
        <v>49</v>
      </c>
      <c r="B207" s="58">
        <v>3277</v>
      </c>
      <c r="C207" s="58" t="s">
        <v>58</v>
      </c>
      <c r="D207" s="58">
        <v>137</v>
      </c>
      <c r="E207" s="58">
        <v>0</v>
      </c>
      <c r="F207" s="58">
        <v>137</v>
      </c>
      <c r="G207" s="58">
        <v>150</v>
      </c>
      <c r="H207" s="58" t="s">
        <v>54</v>
      </c>
      <c r="I207" s="58">
        <v>91.333333333333329</v>
      </c>
      <c r="J207" s="1" t="s">
        <v>8</v>
      </c>
      <c r="K207" s="58">
        <v>91.333333333333329</v>
      </c>
      <c r="L207" s="58">
        <v>3</v>
      </c>
      <c r="M207" s="58">
        <v>2</v>
      </c>
      <c r="N207" s="58">
        <v>3</v>
      </c>
    </row>
    <row r="208" spans="1:14" x14ac:dyDescent="0.2">
      <c r="A208" s="58" t="s">
        <v>49</v>
      </c>
      <c r="B208" s="58">
        <v>3560</v>
      </c>
      <c r="C208" s="58" t="s">
        <v>58</v>
      </c>
      <c r="D208" s="58">
        <v>48</v>
      </c>
      <c r="E208" s="58">
        <v>100</v>
      </c>
      <c r="F208" s="58">
        <v>148</v>
      </c>
      <c r="G208" s="58">
        <v>150</v>
      </c>
      <c r="H208" s="58" t="s">
        <v>54</v>
      </c>
      <c r="I208" s="58">
        <v>98.666666666666671</v>
      </c>
      <c r="J208" s="1" t="s">
        <v>8</v>
      </c>
      <c r="K208" s="58">
        <v>98.666666666666671</v>
      </c>
      <c r="L208" s="58">
        <v>3</v>
      </c>
      <c r="M208" s="58">
        <v>2</v>
      </c>
      <c r="N208" s="58">
        <v>3</v>
      </c>
    </row>
    <row r="209" spans="1:14" x14ac:dyDescent="0.2">
      <c r="A209" s="58" t="s">
        <v>49</v>
      </c>
      <c r="B209" s="58">
        <v>3020</v>
      </c>
      <c r="C209" s="58" t="s">
        <v>58</v>
      </c>
      <c r="D209" s="58">
        <v>228</v>
      </c>
      <c r="E209" s="58">
        <v>0</v>
      </c>
      <c r="F209" s="58">
        <v>228</v>
      </c>
      <c r="G209" s="58">
        <v>288</v>
      </c>
      <c r="H209" s="58" t="s">
        <v>54</v>
      </c>
      <c r="I209" s="58">
        <v>79.166666666666657</v>
      </c>
      <c r="J209" s="1" t="s">
        <v>8</v>
      </c>
      <c r="K209" s="58">
        <v>79.166666666666657</v>
      </c>
      <c r="L209" s="58">
        <v>3</v>
      </c>
      <c r="M209" s="58">
        <v>2</v>
      </c>
      <c r="N209" s="58">
        <v>3</v>
      </c>
    </row>
    <row r="210" spans="1:14" x14ac:dyDescent="0.2">
      <c r="A210" s="58" t="s">
        <v>49</v>
      </c>
      <c r="B210" s="58">
        <v>3397</v>
      </c>
      <c r="C210" s="58" t="s">
        <v>58</v>
      </c>
      <c r="D210" s="58">
        <v>43</v>
      </c>
      <c r="E210" s="58">
        <v>137</v>
      </c>
      <c r="F210" s="58">
        <v>180</v>
      </c>
      <c r="G210" s="58">
        <v>180</v>
      </c>
      <c r="H210" s="58" t="s">
        <v>54</v>
      </c>
      <c r="I210" s="58">
        <v>100</v>
      </c>
      <c r="J210" s="2">
        <v>1</v>
      </c>
      <c r="K210" s="58">
        <v>100</v>
      </c>
      <c r="L210" s="58">
        <v>4</v>
      </c>
      <c r="M210" s="58">
        <v>2</v>
      </c>
      <c r="N210" s="58">
        <v>3</v>
      </c>
    </row>
    <row r="211" spans="1:14" x14ac:dyDescent="0.2">
      <c r="A211" s="58" t="s">
        <v>49</v>
      </c>
      <c r="B211" s="58">
        <v>3489</v>
      </c>
      <c r="C211" s="58" t="s">
        <v>58</v>
      </c>
      <c r="D211" s="58">
        <v>10</v>
      </c>
      <c r="E211" s="58">
        <v>182</v>
      </c>
      <c r="F211" s="58">
        <v>192</v>
      </c>
      <c r="G211" s="58">
        <v>192</v>
      </c>
      <c r="H211" s="58" t="s">
        <v>54</v>
      </c>
      <c r="I211" s="58">
        <v>100</v>
      </c>
      <c r="J211" s="2">
        <v>1</v>
      </c>
      <c r="K211" s="58">
        <v>100</v>
      </c>
      <c r="L211" s="58">
        <v>4</v>
      </c>
      <c r="M211" s="58">
        <v>2</v>
      </c>
      <c r="N211" s="58">
        <v>3</v>
      </c>
    </row>
    <row r="212" spans="1:14" x14ac:dyDescent="0.2">
      <c r="A212" s="58" t="s">
        <v>49</v>
      </c>
      <c r="B212" s="58">
        <v>4142</v>
      </c>
      <c r="C212" s="58" t="s">
        <v>58</v>
      </c>
      <c r="D212" s="58">
        <v>215</v>
      </c>
      <c r="E212" s="58">
        <v>0</v>
      </c>
      <c r="F212" s="58">
        <v>215</v>
      </c>
      <c r="G212" s="58">
        <v>215</v>
      </c>
      <c r="H212" s="58" t="s">
        <v>54</v>
      </c>
      <c r="I212" s="58">
        <v>100</v>
      </c>
      <c r="J212" s="2">
        <v>1</v>
      </c>
      <c r="K212" s="58">
        <v>100</v>
      </c>
      <c r="L212" s="58">
        <v>4</v>
      </c>
      <c r="M212" s="58">
        <v>2</v>
      </c>
      <c r="N212" s="58">
        <v>3</v>
      </c>
    </row>
    <row r="213" spans="1:14" x14ac:dyDescent="0.2">
      <c r="A213" s="58" t="s">
        <v>49</v>
      </c>
      <c r="B213" s="58">
        <v>4173</v>
      </c>
      <c r="C213" s="58" t="s">
        <v>58</v>
      </c>
      <c r="D213" s="58">
        <v>52</v>
      </c>
      <c r="E213" s="58">
        <v>175</v>
      </c>
      <c r="F213" s="58">
        <v>227</v>
      </c>
      <c r="G213" s="58">
        <v>227</v>
      </c>
      <c r="H213" s="58" t="s">
        <v>54</v>
      </c>
      <c r="I213" s="58">
        <v>100</v>
      </c>
      <c r="J213" s="2">
        <v>1</v>
      </c>
      <c r="K213" s="58">
        <v>100</v>
      </c>
      <c r="L213" s="58">
        <v>4</v>
      </c>
      <c r="M213" s="58">
        <v>2</v>
      </c>
      <c r="N213" s="58">
        <v>3</v>
      </c>
    </row>
    <row r="214" spans="1:14" x14ac:dyDescent="0.2">
      <c r="A214" s="58" t="s">
        <v>49</v>
      </c>
      <c r="B214" s="58">
        <v>4203</v>
      </c>
      <c r="C214" s="58" t="s">
        <v>58</v>
      </c>
      <c r="D214" s="58">
        <v>238</v>
      </c>
      <c r="E214" s="58">
        <v>0</v>
      </c>
      <c r="F214" s="58">
        <v>238</v>
      </c>
      <c r="G214" s="58">
        <v>238</v>
      </c>
      <c r="H214" s="58" t="s">
        <v>54</v>
      </c>
      <c r="I214" s="58">
        <v>100</v>
      </c>
      <c r="J214" s="2">
        <v>1</v>
      </c>
      <c r="K214" s="58">
        <v>100</v>
      </c>
      <c r="L214" s="58">
        <v>4</v>
      </c>
      <c r="M214" s="58">
        <v>2</v>
      </c>
      <c r="N214" s="58">
        <v>3</v>
      </c>
    </row>
    <row r="215" spans="1:14" x14ac:dyDescent="0.2">
      <c r="A215" s="58" t="s">
        <v>49</v>
      </c>
      <c r="B215" s="58">
        <v>4582</v>
      </c>
      <c r="C215" s="58" t="s">
        <v>58</v>
      </c>
      <c r="D215" s="58">
        <v>175</v>
      </c>
      <c r="E215" s="58">
        <v>0</v>
      </c>
      <c r="F215" s="58">
        <v>175</v>
      </c>
      <c r="G215" s="58">
        <v>175</v>
      </c>
      <c r="H215" s="58" t="s">
        <v>54</v>
      </c>
      <c r="I215" s="58">
        <v>100</v>
      </c>
      <c r="J215" s="2">
        <v>1</v>
      </c>
      <c r="K215" s="58">
        <v>100</v>
      </c>
      <c r="L215" s="58">
        <v>4</v>
      </c>
      <c r="M215" s="58">
        <v>2</v>
      </c>
      <c r="N215" s="58">
        <v>3</v>
      </c>
    </row>
    <row r="216" spans="1:14" x14ac:dyDescent="0.2">
      <c r="A216" s="58" t="s">
        <v>49</v>
      </c>
      <c r="B216" s="58">
        <v>3054</v>
      </c>
      <c r="C216" s="58" t="s">
        <v>58</v>
      </c>
      <c r="D216" s="58">
        <v>177</v>
      </c>
      <c r="E216" s="58">
        <v>97</v>
      </c>
      <c r="F216" s="58">
        <v>274</v>
      </c>
      <c r="G216" s="58">
        <v>169</v>
      </c>
      <c r="H216" s="58" t="s">
        <v>54</v>
      </c>
      <c r="I216" s="58">
        <v>162.1301775147929</v>
      </c>
      <c r="J216" s="2">
        <v>1</v>
      </c>
      <c r="K216" s="58">
        <v>100</v>
      </c>
      <c r="L216" s="58">
        <v>4</v>
      </c>
      <c r="M216" s="58">
        <v>2</v>
      </c>
      <c r="N216" s="58">
        <v>3</v>
      </c>
    </row>
    <row r="217" spans="1:14" x14ac:dyDescent="0.2">
      <c r="A217" s="58" t="s">
        <v>49</v>
      </c>
      <c r="B217" s="58">
        <v>3055</v>
      </c>
      <c r="C217" s="58" t="s">
        <v>58</v>
      </c>
      <c r="D217" s="58">
        <v>0</v>
      </c>
      <c r="E217" s="58">
        <v>199</v>
      </c>
      <c r="F217" s="58">
        <v>199</v>
      </c>
      <c r="G217" s="58">
        <v>184</v>
      </c>
      <c r="H217" s="58" t="s">
        <v>54</v>
      </c>
      <c r="I217" s="58">
        <v>108.15217391304348</v>
      </c>
      <c r="J217" s="2">
        <v>1</v>
      </c>
      <c r="K217" s="58">
        <v>100</v>
      </c>
      <c r="L217" s="58">
        <v>4</v>
      </c>
      <c r="M217" s="58">
        <v>2</v>
      </c>
      <c r="N217" s="58">
        <v>3</v>
      </c>
    </row>
    <row r="218" spans="1:14" x14ac:dyDescent="0.2">
      <c r="A218" s="58" t="s">
        <v>49</v>
      </c>
      <c r="B218" s="58">
        <v>3220</v>
      </c>
      <c r="C218" s="58" t="s">
        <v>58</v>
      </c>
      <c r="D218" s="58">
        <v>0</v>
      </c>
      <c r="E218" s="58">
        <v>214</v>
      </c>
      <c r="F218" s="58">
        <v>214</v>
      </c>
      <c r="G218" s="58">
        <v>185</v>
      </c>
      <c r="H218" s="58" t="s">
        <v>54</v>
      </c>
      <c r="I218" s="58">
        <v>115.67567567567568</v>
      </c>
      <c r="J218" s="2">
        <v>1</v>
      </c>
      <c r="K218" s="58">
        <v>100</v>
      </c>
      <c r="L218" s="58">
        <v>4</v>
      </c>
      <c r="M218" s="58">
        <v>2</v>
      </c>
      <c r="N218" s="58">
        <v>3</v>
      </c>
    </row>
    <row r="219" spans="1:14" x14ac:dyDescent="0.2">
      <c r="A219" s="58" t="s">
        <v>49</v>
      </c>
      <c r="B219" s="58">
        <v>3771</v>
      </c>
      <c r="C219" s="58" t="s">
        <v>58</v>
      </c>
      <c r="D219" s="58">
        <v>177</v>
      </c>
      <c r="E219" s="58">
        <v>0</v>
      </c>
      <c r="F219" s="58">
        <v>177</v>
      </c>
      <c r="G219" s="58">
        <v>177</v>
      </c>
      <c r="H219" s="58" t="s">
        <v>54</v>
      </c>
      <c r="I219" s="58">
        <v>100</v>
      </c>
      <c r="J219" s="2">
        <v>1</v>
      </c>
      <c r="K219" s="58">
        <v>100</v>
      </c>
      <c r="L219" s="58">
        <v>4</v>
      </c>
      <c r="M219" s="58">
        <v>2</v>
      </c>
      <c r="N219" s="58">
        <v>3</v>
      </c>
    </row>
    <row r="220" spans="1:14" x14ac:dyDescent="0.2">
      <c r="A220" s="58" t="s">
        <v>49</v>
      </c>
      <c r="B220" s="58">
        <v>3774</v>
      </c>
      <c r="C220" s="58" t="s">
        <v>58</v>
      </c>
      <c r="D220" s="58">
        <v>204</v>
      </c>
      <c r="E220" s="58">
        <v>0</v>
      </c>
      <c r="F220" s="58">
        <v>204</v>
      </c>
      <c r="G220" s="58">
        <v>457</v>
      </c>
      <c r="H220" s="58" t="s">
        <v>55</v>
      </c>
      <c r="I220" s="58">
        <v>44.63894967177243</v>
      </c>
      <c r="J220" s="1" t="s">
        <v>6</v>
      </c>
      <c r="K220" s="58">
        <v>44.63894967177243</v>
      </c>
      <c r="L220" s="1">
        <v>1</v>
      </c>
      <c r="M220" s="58">
        <v>3</v>
      </c>
      <c r="N220" s="58">
        <v>3</v>
      </c>
    </row>
    <row r="221" spans="1:14" x14ac:dyDescent="0.2">
      <c r="A221" s="58" t="s">
        <v>49</v>
      </c>
      <c r="B221" s="58">
        <v>3051</v>
      </c>
      <c r="C221" s="58" t="s">
        <v>58</v>
      </c>
      <c r="D221" s="58">
        <v>0</v>
      </c>
      <c r="E221" s="58">
        <v>181</v>
      </c>
      <c r="F221" s="58">
        <v>181</v>
      </c>
      <c r="G221" s="58">
        <v>484</v>
      </c>
      <c r="H221" s="58" t="s">
        <v>55</v>
      </c>
      <c r="I221" s="58">
        <v>37.396694214876028</v>
      </c>
      <c r="J221" s="1" t="s">
        <v>6</v>
      </c>
      <c r="K221" s="58">
        <v>37.396694214876028</v>
      </c>
      <c r="L221" s="1">
        <v>1</v>
      </c>
      <c r="M221" s="58">
        <v>3</v>
      </c>
      <c r="N221" s="58">
        <v>3</v>
      </c>
    </row>
    <row r="222" spans="1:14" x14ac:dyDescent="0.2">
      <c r="A222" s="58" t="s">
        <v>49</v>
      </c>
      <c r="B222" s="58">
        <v>3141</v>
      </c>
      <c r="C222" s="58" t="s">
        <v>58</v>
      </c>
      <c r="D222" s="58">
        <v>0</v>
      </c>
      <c r="E222" s="58">
        <v>186</v>
      </c>
      <c r="F222" s="58">
        <v>186</v>
      </c>
      <c r="G222" s="58">
        <v>392</v>
      </c>
      <c r="H222" s="58" t="s">
        <v>55</v>
      </c>
      <c r="I222" s="58">
        <v>47.448979591836739</v>
      </c>
      <c r="J222" s="1" t="s">
        <v>6</v>
      </c>
      <c r="K222" s="58">
        <v>47.448979591836739</v>
      </c>
      <c r="L222" s="1">
        <v>1</v>
      </c>
      <c r="M222" s="58">
        <v>3</v>
      </c>
      <c r="N222" s="58">
        <v>3</v>
      </c>
    </row>
    <row r="223" spans="1:14" x14ac:dyDescent="0.2">
      <c r="A223" s="58" t="s">
        <v>49</v>
      </c>
      <c r="B223" s="58">
        <v>3257</v>
      </c>
      <c r="C223" s="58" t="s">
        <v>58</v>
      </c>
      <c r="D223" s="58">
        <v>153</v>
      </c>
      <c r="E223" s="58">
        <v>166</v>
      </c>
      <c r="F223" s="58">
        <v>319</v>
      </c>
      <c r="G223" s="58">
        <v>520</v>
      </c>
      <c r="H223" s="58" t="s">
        <v>55</v>
      </c>
      <c r="I223" s="58">
        <v>61.346153846153854</v>
      </c>
      <c r="J223" s="1" t="s">
        <v>7</v>
      </c>
      <c r="K223" s="58">
        <v>61.346153846153854</v>
      </c>
      <c r="L223" s="58">
        <v>2</v>
      </c>
      <c r="M223" s="58">
        <v>3</v>
      </c>
      <c r="N223" s="58">
        <v>3</v>
      </c>
    </row>
    <row r="224" spans="1:14" x14ac:dyDescent="0.2">
      <c r="A224" s="58" t="s">
        <v>49</v>
      </c>
      <c r="B224" s="58">
        <v>3377</v>
      </c>
      <c r="C224" s="58" t="s">
        <v>58</v>
      </c>
      <c r="D224" s="58">
        <v>368</v>
      </c>
      <c r="E224" s="58">
        <v>0</v>
      </c>
      <c r="F224" s="58">
        <v>368</v>
      </c>
      <c r="G224" s="58">
        <v>500</v>
      </c>
      <c r="H224" s="58" t="s">
        <v>55</v>
      </c>
      <c r="I224" s="58">
        <v>73.599999999999994</v>
      </c>
      <c r="J224" s="1" t="s">
        <v>7</v>
      </c>
      <c r="K224" s="58">
        <v>73.599999999999994</v>
      </c>
      <c r="L224" s="58">
        <v>2</v>
      </c>
      <c r="M224" s="58">
        <v>3</v>
      </c>
      <c r="N224" s="58">
        <v>3</v>
      </c>
    </row>
    <row r="225" spans="1:14" x14ac:dyDescent="0.2">
      <c r="A225" s="58" t="s">
        <v>49</v>
      </c>
      <c r="B225" s="58">
        <v>3500</v>
      </c>
      <c r="C225" s="58" t="s">
        <v>58</v>
      </c>
      <c r="D225" s="58">
        <v>371</v>
      </c>
      <c r="E225" s="58">
        <v>0</v>
      </c>
      <c r="F225" s="58">
        <v>371</v>
      </c>
      <c r="G225" s="58">
        <v>575</v>
      </c>
      <c r="H225" s="58" t="s">
        <v>55</v>
      </c>
      <c r="I225" s="58">
        <v>64.521739130434781</v>
      </c>
      <c r="J225" s="1" t="s">
        <v>7</v>
      </c>
      <c r="K225" s="58">
        <v>64.521739130434781</v>
      </c>
      <c r="L225" s="58">
        <v>2</v>
      </c>
      <c r="M225" s="58">
        <v>3</v>
      </c>
      <c r="N225" s="58">
        <v>3</v>
      </c>
    </row>
    <row r="226" spans="1:14" x14ac:dyDescent="0.2">
      <c r="A226" s="58" t="s">
        <v>49</v>
      </c>
      <c r="B226" s="58">
        <v>3744</v>
      </c>
      <c r="C226" s="58" t="s">
        <v>58</v>
      </c>
      <c r="D226" s="58">
        <v>212</v>
      </c>
      <c r="E226" s="58">
        <v>0</v>
      </c>
      <c r="F226" s="58">
        <v>212</v>
      </c>
      <c r="G226" s="58">
        <v>302</v>
      </c>
      <c r="H226" s="58" t="s">
        <v>55</v>
      </c>
      <c r="I226" s="58">
        <v>70.19867549668875</v>
      </c>
      <c r="J226" s="1" t="s">
        <v>7</v>
      </c>
      <c r="K226" s="58">
        <v>70.19867549668875</v>
      </c>
      <c r="L226" s="58">
        <v>2</v>
      </c>
      <c r="M226" s="58">
        <v>3</v>
      </c>
      <c r="N226" s="58">
        <v>3</v>
      </c>
    </row>
    <row r="227" spans="1:14" x14ac:dyDescent="0.2">
      <c r="A227" s="58" t="s">
        <v>49</v>
      </c>
      <c r="B227" s="58">
        <v>3819</v>
      </c>
      <c r="C227" s="58" t="s">
        <v>58</v>
      </c>
      <c r="D227" s="58">
        <v>254</v>
      </c>
      <c r="E227" s="58">
        <v>0</v>
      </c>
      <c r="F227" s="58">
        <v>254</v>
      </c>
      <c r="G227" s="58">
        <v>400</v>
      </c>
      <c r="H227" s="58" t="s">
        <v>55</v>
      </c>
      <c r="I227" s="58">
        <v>63.5</v>
      </c>
      <c r="J227" s="1" t="s">
        <v>7</v>
      </c>
      <c r="K227" s="58">
        <v>63.5</v>
      </c>
      <c r="L227" s="58">
        <v>2</v>
      </c>
      <c r="M227" s="58">
        <v>3</v>
      </c>
      <c r="N227" s="58">
        <v>3</v>
      </c>
    </row>
    <row r="228" spans="1:14" x14ac:dyDescent="0.2">
      <c r="A228" s="58" t="s">
        <v>49</v>
      </c>
      <c r="B228" s="58">
        <v>4095</v>
      </c>
      <c r="C228" s="58" t="s">
        <v>58</v>
      </c>
      <c r="D228" s="58">
        <v>308</v>
      </c>
      <c r="E228" s="58">
        <v>0</v>
      </c>
      <c r="F228" s="58">
        <v>308</v>
      </c>
      <c r="G228" s="58">
        <v>570</v>
      </c>
      <c r="H228" s="58" t="s">
        <v>55</v>
      </c>
      <c r="I228" s="58">
        <v>54.035087719298247</v>
      </c>
      <c r="J228" s="1" t="s">
        <v>7</v>
      </c>
      <c r="K228" s="58">
        <v>54.035087719298247</v>
      </c>
      <c r="L228" s="58">
        <v>2</v>
      </c>
      <c r="M228" s="58">
        <v>3</v>
      </c>
      <c r="N228" s="58">
        <v>3</v>
      </c>
    </row>
    <row r="229" spans="1:14" x14ac:dyDescent="0.2">
      <c r="A229" s="58" t="s">
        <v>49</v>
      </c>
      <c r="B229" s="58">
        <v>4169</v>
      </c>
      <c r="C229" s="58" t="s">
        <v>58</v>
      </c>
      <c r="D229" s="58">
        <v>418</v>
      </c>
      <c r="E229" s="58">
        <v>0</v>
      </c>
      <c r="F229" s="58">
        <v>418</v>
      </c>
      <c r="G229" s="58">
        <v>634</v>
      </c>
      <c r="H229" s="58" t="s">
        <v>55</v>
      </c>
      <c r="I229" s="58">
        <v>65.930599369085172</v>
      </c>
      <c r="J229" s="1" t="s">
        <v>7</v>
      </c>
      <c r="K229" s="58">
        <v>65.930599369085172</v>
      </c>
      <c r="L229" s="58">
        <v>2</v>
      </c>
      <c r="M229" s="58">
        <v>3</v>
      </c>
      <c r="N229" s="58">
        <v>3</v>
      </c>
    </row>
    <row r="230" spans="1:14" x14ac:dyDescent="0.2">
      <c r="A230" s="58" t="s">
        <v>49</v>
      </c>
      <c r="B230" s="58">
        <v>3011</v>
      </c>
      <c r="C230" s="58" t="s">
        <v>58</v>
      </c>
      <c r="D230" s="58">
        <v>228</v>
      </c>
      <c r="E230" s="58">
        <v>108</v>
      </c>
      <c r="F230" s="58">
        <v>336</v>
      </c>
      <c r="G230" s="58">
        <v>376</v>
      </c>
      <c r="H230" s="58" t="s">
        <v>55</v>
      </c>
      <c r="I230" s="58">
        <v>89.361702127659569</v>
      </c>
      <c r="J230" s="1" t="s">
        <v>8</v>
      </c>
      <c r="K230" s="58">
        <v>89.361702127659569</v>
      </c>
      <c r="L230" s="58">
        <v>3</v>
      </c>
      <c r="M230" s="58">
        <v>3</v>
      </c>
      <c r="N230" s="58">
        <v>3</v>
      </c>
    </row>
    <row r="231" spans="1:14" x14ac:dyDescent="0.2">
      <c r="A231" s="58" t="s">
        <v>49</v>
      </c>
      <c r="B231" s="58">
        <v>3059</v>
      </c>
      <c r="C231" s="58" t="s">
        <v>58</v>
      </c>
      <c r="D231" s="58">
        <v>186</v>
      </c>
      <c r="E231" s="58">
        <v>120</v>
      </c>
      <c r="F231" s="58">
        <v>306</v>
      </c>
      <c r="G231" s="58">
        <v>354</v>
      </c>
      <c r="H231" s="58" t="s">
        <v>55</v>
      </c>
      <c r="I231" s="58">
        <v>86.440677966101703</v>
      </c>
      <c r="J231" s="1" t="s">
        <v>8</v>
      </c>
      <c r="K231" s="58">
        <v>86.440677966101703</v>
      </c>
      <c r="L231" s="58">
        <v>3</v>
      </c>
      <c r="M231" s="58">
        <v>3</v>
      </c>
      <c r="N231" s="58">
        <v>3</v>
      </c>
    </row>
    <row r="232" spans="1:14" x14ac:dyDescent="0.2">
      <c r="A232" s="58" t="s">
        <v>49</v>
      </c>
      <c r="B232" s="58">
        <v>3114</v>
      </c>
      <c r="C232" s="58" t="s">
        <v>58</v>
      </c>
      <c r="D232" s="58">
        <v>301</v>
      </c>
      <c r="E232" s="58">
        <v>0</v>
      </c>
      <c r="F232" s="58">
        <v>301</v>
      </c>
      <c r="G232" s="58">
        <v>360</v>
      </c>
      <c r="H232" s="58" t="s">
        <v>55</v>
      </c>
      <c r="I232" s="58">
        <v>83.611111111111114</v>
      </c>
      <c r="J232" s="1" t="s">
        <v>8</v>
      </c>
      <c r="K232" s="58">
        <v>83.611111111111114</v>
      </c>
      <c r="L232" s="58">
        <v>3</v>
      </c>
      <c r="M232" s="58">
        <v>3</v>
      </c>
      <c r="N232" s="58">
        <v>3</v>
      </c>
    </row>
    <row r="233" spans="1:14" x14ac:dyDescent="0.2">
      <c r="A233" s="58" t="s">
        <v>49</v>
      </c>
      <c r="B233" s="58">
        <v>3377</v>
      </c>
      <c r="C233" s="58" t="s">
        <v>58</v>
      </c>
      <c r="D233" s="58">
        <v>123</v>
      </c>
      <c r="E233" s="58">
        <v>192</v>
      </c>
      <c r="F233" s="58">
        <v>315</v>
      </c>
      <c r="G233" s="58">
        <v>350</v>
      </c>
      <c r="H233" s="58" t="s">
        <v>55</v>
      </c>
      <c r="I233" s="58">
        <v>90</v>
      </c>
      <c r="J233" s="1" t="s">
        <v>8</v>
      </c>
      <c r="K233" s="58">
        <v>90</v>
      </c>
      <c r="L233" s="58">
        <v>3</v>
      </c>
      <c r="M233" s="58">
        <v>3</v>
      </c>
      <c r="N233" s="58">
        <v>3</v>
      </c>
    </row>
    <row r="234" spans="1:14" x14ac:dyDescent="0.2">
      <c r="A234" s="58" t="s">
        <v>49</v>
      </c>
      <c r="B234" s="58">
        <v>3992</v>
      </c>
      <c r="C234" s="58" t="s">
        <v>58</v>
      </c>
      <c r="D234" s="58">
        <v>496</v>
      </c>
      <c r="E234" s="58">
        <v>0</v>
      </c>
      <c r="F234" s="58">
        <v>496</v>
      </c>
      <c r="G234" s="58">
        <v>500</v>
      </c>
      <c r="H234" s="58" t="s">
        <v>55</v>
      </c>
      <c r="I234" s="58">
        <v>99.2</v>
      </c>
      <c r="J234" s="1" t="s">
        <v>8</v>
      </c>
      <c r="K234" s="58">
        <v>99.2</v>
      </c>
      <c r="L234" s="58">
        <v>3</v>
      </c>
      <c r="M234" s="58">
        <v>3</v>
      </c>
      <c r="N234" s="58">
        <v>3</v>
      </c>
    </row>
    <row r="235" spans="1:14" x14ac:dyDescent="0.2">
      <c r="A235" s="58" t="s">
        <v>49</v>
      </c>
      <c r="B235" s="58">
        <v>4385</v>
      </c>
      <c r="C235" s="58" t="s">
        <v>58</v>
      </c>
      <c r="D235" s="58">
        <v>452</v>
      </c>
      <c r="E235" s="58">
        <v>0</v>
      </c>
      <c r="F235" s="58">
        <v>452</v>
      </c>
      <c r="G235" s="58">
        <v>592</v>
      </c>
      <c r="H235" s="58" t="s">
        <v>55</v>
      </c>
      <c r="I235" s="58">
        <v>76.351351351351354</v>
      </c>
      <c r="J235" s="1" t="s">
        <v>8</v>
      </c>
      <c r="K235" s="58">
        <v>76.351351351351354</v>
      </c>
      <c r="L235" s="58">
        <v>3</v>
      </c>
      <c r="M235" s="58">
        <v>3</v>
      </c>
      <c r="N235" s="58">
        <v>3</v>
      </c>
    </row>
    <row r="236" spans="1:14" x14ac:dyDescent="0.2">
      <c r="A236" s="58" t="s">
        <v>49</v>
      </c>
      <c r="B236" s="58">
        <v>3892</v>
      </c>
      <c r="C236" s="58" t="s">
        <v>58</v>
      </c>
      <c r="D236" s="58">
        <v>564</v>
      </c>
      <c r="E236" s="58">
        <v>0</v>
      </c>
      <c r="F236" s="58">
        <v>564</v>
      </c>
      <c r="G236" s="58">
        <v>564</v>
      </c>
      <c r="H236" s="58" t="s">
        <v>55</v>
      </c>
      <c r="I236" s="58">
        <v>100</v>
      </c>
      <c r="J236" s="2">
        <v>1</v>
      </c>
      <c r="K236" s="58">
        <v>100</v>
      </c>
      <c r="L236" s="58">
        <v>4</v>
      </c>
      <c r="M236" s="58">
        <v>3</v>
      </c>
      <c r="N236" s="58">
        <v>3</v>
      </c>
    </row>
    <row r="237" spans="1:14" x14ac:dyDescent="0.2">
      <c r="A237" s="58" t="s">
        <v>49</v>
      </c>
      <c r="B237" s="58">
        <v>3957</v>
      </c>
      <c r="C237" s="58" t="s">
        <v>58</v>
      </c>
      <c r="D237" s="58">
        <v>499</v>
      </c>
      <c r="E237" s="58">
        <v>0</v>
      </c>
      <c r="F237" s="58">
        <v>499</v>
      </c>
      <c r="G237" s="58">
        <v>499</v>
      </c>
      <c r="H237" s="58" t="s">
        <v>55</v>
      </c>
      <c r="I237" s="58">
        <v>100</v>
      </c>
      <c r="J237" s="2">
        <v>1</v>
      </c>
      <c r="K237" s="58">
        <v>100</v>
      </c>
      <c r="L237" s="58">
        <v>4</v>
      </c>
      <c r="M237" s="58">
        <v>3</v>
      </c>
      <c r="N237" s="58">
        <v>3</v>
      </c>
    </row>
    <row r="238" spans="1:14" x14ac:dyDescent="0.2">
      <c r="A238" s="58" t="s">
        <v>49</v>
      </c>
      <c r="B238" s="58">
        <v>4372</v>
      </c>
      <c r="C238" s="58" t="s">
        <v>58</v>
      </c>
      <c r="D238" s="58">
        <v>514</v>
      </c>
      <c r="E238" s="58">
        <v>0</v>
      </c>
      <c r="F238" s="58">
        <v>514</v>
      </c>
      <c r="G238" s="58">
        <v>514</v>
      </c>
      <c r="H238" s="58" t="s">
        <v>55</v>
      </c>
      <c r="I238" s="58">
        <v>100</v>
      </c>
      <c r="J238" s="2">
        <v>1</v>
      </c>
      <c r="K238" s="58">
        <v>100</v>
      </c>
      <c r="L238" s="58">
        <v>4</v>
      </c>
      <c r="M238" s="58">
        <v>3</v>
      </c>
      <c r="N238" s="58">
        <v>3</v>
      </c>
    </row>
    <row r="239" spans="1:14" x14ac:dyDescent="0.2">
      <c r="A239" s="58" t="s">
        <v>49</v>
      </c>
      <c r="B239" s="58">
        <v>4416</v>
      </c>
      <c r="C239" s="58" t="s">
        <v>58</v>
      </c>
      <c r="D239" s="58">
        <v>530</v>
      </c>
      <c r="E239" s="58">
        <v>0</v>
      </c>
      <c r="F239" s="58">
        <v>530</v>
      </c>
      <c r="G239" s="58">
        <v>530</v>
      </c>
      <c r="H239" s="58" t="s">
        <v>55</v>
      </c>
      <c r="I239" s="58">
        <v>100</v>
      </c>
      <c r="J239" s="2">
        <v>1</v>
      </c>
      <c r="K239" s="58">
        <v>100</v>
      </c>
      <c r="L239" s="58">
        <v>4</v>
      </c>
      <c r="M239" s="58">
        <v>3</v>
      </c>
      <c r="N239" s="58">
        <v>3</v>
      </c>
    </row>
    <row r="240" spans="1:14" x14ac:dyDescent="0.2">
      <c r="A240" s="58" t="s">
        <v>49</v>
      </c>
      <c r="B240" s="58">
        <v>4494</v>
      </c>
      <c r="C240" s="58" t="s">
        <v>58</v>
      </c>
      <c r="D240" s="58">
        <v>306</v>
      </c>
      <c r="E240" s="58">
        <v>0</v>
      </c>
      <c r="F240" s="58">
        <v>306</v>
      </c>
      <c r="G240" s="58">
        <v>306</v>
      </c>
      <c r="H240" s="58" t="s">
        <v>55</v>
      </c>
      <c r="I240" s="58">
        <v>100</v>
      </c>
      <c r="J240" s="2">
        <v>1</v>
      </c>
      <c r="K240" s="58">
        <v>100</v>
      </c>
      <c r="L240" s="58">
        <v>4</v>
      </c>
      <c r="M240" s="58">
        <v>3</v>
      </c>
      <c r="N240" s="58">
        <v>3</v>
      </c>
    </row>
    <row r="241" spans="1:14" x14ac:dyDescent="0.2">
      <c r="A241" s="58" t="s">
        <v>49</v>
      </c>
      <c r="B241" s="58">
        <v>4566</v>
      </c>
      <c r="C241" s="58" t="s">
        <v>58</v>
      </c>
      <c r="D241" s="58">
        <v>500</v>
      </c>
      <c r="E241" s="58">
        <v>0</v>
      </c>
      <c r="F241" s="58">
        <v>500</v>
      </c>
      <c r="G241" s="58">
        <v>500</v>
      </c>
      <c r="H241" s="58" t="s">
        <v>55</v>
      </c>
      <c r="I241" s="58">
        <v>100</v>
      </c>
      <c r="J241" s="2">
        <v>1</v>
      </c>
      <c r="K241" s="58">
        <v>100</v>
      </c>
      <c r="L241" s="58">
        <v>4</v>
      </c>
      <c r="M241" s="58">
        <v>3</v>
      </c>
      <c r="N241" s="58">
        <v>3</v>
      </c>
    </row>
    <row r="242" spans="1:14" x14ac:dyDescent="0.2">
      <c r="A242" s="58" t="s">
        <v>49</v>
      </c>
      <c r="B242" s="58">
        <v>3776</v>
      </c>
      <c r="C242" s="58" t="s">
        <v>58</v>
      </c>
      <c r="D242" s="58">
        <v>680</v>
      </c>
      <c r="E242" s="58">
        <v>0</v>
      </c>
      <c r="F242" s="58">
        <v>680</v>
      </c>
      <c r="G242" s="58">
        <v>680</v>
      </c>
      <c r="H242" s="58" t="s">
        <v>55</v>
      </c>
      <c r="I242" s="58">
        <v>100</v>
      </c>
      <c r="J242" s="2">
        <v>1</v>
      </c>
      <c r="K242" s="58">
        <v>100</v>
      </c>
      <c r="L242" s="58">
        <v>4</v>
      </c>
      <c r="M242" s="58">
        <v>3</v>
      </c>
      <c r="N242" s="58">
        <v>3</v>
      </c>
    </row>
    <row r="243" spans="1:14" x14ac:dyDescent="0.2">
      <c r="A243" s="58" t="s">
        <v>49</v>
      </c>
      <c r="B243" s="58">
        <v>3834</v>
      </c>
      <c r="C243" s="58" t="s">
        <v>58</v>
      </c>
      <c r="D243" s="58">
        <v>371</v>
      </c>
      <c r="E243" s="58">
        <v>0</v>
      </c>
      <c r="F243" s="58">
        <v>371</v>
      </c>
      <c r="G243" s="58">
        <v>371</v>
      </c>
      <c r="H243" s="58" t="s">
        <v>55</v>
      </c>
      <c r="I243" s="58">
        <v>100</v>
      </c>
      <c r="J243" s="2">
        <v>1</v>
      </c>
      <c r="K243" s="58">
        <v>100</v>
      </c>
      <c r="L243" s="58">
        <v>4</v>
      </c>
      <c r="M243" s="58">
        <v>3</v>
      </c>
      <c r="N243" s="58">
        <v>3</v>
      </c>
    </row>
  </sheetData>
  <sortState xmlns:xlrd2="http://schemas.microsoft.com/office/spreadsheetml/2017/richdata2" ref="A2:N243">
    <sortCondition ref="N2:N243"/>
    <sortCondition ref="M2:M243"/>
    <sortCondition ref="L2:L24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3"/>
  <sheetViews>
    <sheetView workbookViewId="0">
      <selection activeCell="G57" sqref="G57"/>
    </sheetView>
  </sheetViews>
  <sheetFormatPr defaultColWidth="8.75" defaultRowHeight="12.75" x14ac:dyDescent="0.2"/>
  <cols>
    <col min="1" max="1" width="8.75" style="14"/>
    <col min="2" max="2" width="10.375" style="14" bestFit="1" customWidth="1"/>
    <col min="3" max="3" width="9.75" style="14" bestFit="1" customWidth="1"/>
    <col min="4" max="4" width="20.5" style="14" bestFit="1" customWidth="1"/>
    <col min="5" max="5" width="10.25" style="35" bestFit="1" customWidth="1"/>
    <col min="6" max="6" width="21.125" style="35" bestFit="1" customWidth="1"/>
    <col min="7" max="7" width="16.625" style="30" bestFit="1" customWidth="1"/>
    <col min="8" max="8" width="9.625" style="30" bestFit="1" customWidth="1"/>
    <col min="9" max="16384" width="8.75" style="14"/>
  </cols>
  <sheetData>
    <row r="1" spans="1:21" s="5" customFormat="1" x14ac:dyDescent="0.2">
      <c r="A1" s="3" t="s">
        <v>9</v>
      </c>
      <c r="B1" s="3" t="s">
        <v>10</v>
      </c>
      <c r="C1" s="3" t="s">
        <v>11</v>
      </c>
      <c r="D1" s="3" t="s">
        <v>12</v>
      </c>
      <c r="E1" s="4" t="s">
        <v>13</v>
      </c>
      <c r="F1" s="4" t="s">
        <v>14</v>
      </c>
      <c r="G1" s="51" t="s">
        <v>15</v>
      </c>
      <c r="H1" s="51" t="s">
        <v>16</v>
      </c>
      <c r="J1" s="6"/>
      <c r="K1" s="6"/>
      <c r="L1" s="7"/>
      <c r="M1" s="7"/>
      <c r="N1" s="7"/>
      <c r="O1" s="7"/>
    </row>
    <row r="2" spans="1:21" x14ac:dyDescent="0.2">
      <c r="A2" s="8" t="s">
        <v>17</v>
      </c>
      <c r="B2" s="9">
        <f>34/242</f>
        <v>0.14049586776859505</v>
      </c>
      <c r="C2" s="8" t="s">
        <v>18</v>
      </c>
      <c r="D2" s="10">
        <f>11/34</f>
        <v>0.3235294117647059</v>
      </c>
      <c r="E2" s="11" t="s">
        <v>19</v>
      </c>
      <c r="F2" s="12">
        <f>4/11</f>
        <v>0.36363636363636365</v>
      </c>
      <c r="G2" s="24">
        <f t="shared" ref="G2:G37" si="0">SUM(B2*D2*F2)</f>
        <v>1.6528925619834711E-2</v>
      </c>
      <c r="H2" s="24">
        <f t="shared" ref="H2:H10" si="1">G2/(G2+G11+G20+G29)</f>
        <v>0.17391304347826089</v>
      </c>
      <c r="J2" s="15" t="s">
        <v>20</v>
      </c>
      <c r="K2" s="15" t="s">
        <v>0</v>
      </c>
      <c r="L2" s="16" t="s">
        <v>6</v>
      </c>
      <c r="M2" s="16" t="s">
        <v>21</v>
      </c>
      <c r="N2" s="16" t="s">
        <v>22</v>
      </c>
      <c r="O2" s="17">
        <v>1</v>
      </c>
    </row>
    <row r="3" spans="1:21" x14ac:dyDescent="0.2">
      <c r="A3" s="8" t="s">
        <v>17</v>
      </c>
      <c r="B3" s="9">
        <f>34/242</f>
        <v>0.14049586776859505</v>
      </c>
      <c r="C3" s="8" t="s">
        <v>18</v>
      </c>
      <c r="D3" s="10">
        <f>11/34</f>
        <v>0.3235294117647059</v>
      </c>
      <c r="E3" s="11" t="s">
        <v>23</v>
      </c>
      <c r="F3" s="12">
        <f>6/11</f>
        <v>0.54545454545454541</v>
      </c>
      <c r="G3" s="24">
        <f t="shared" si="0"/>
        <v>2.4793388429752063E-2</v>
      </c>
      <c r="H3" s="24">
        <f t="shared" si="1"/>
        <v>0.11320754716981131</v>
      </c>
      <c r="J3" s="18" t="s">
        <v>18</v>
      </c>
      <c r="K3" s="19" t="s">
        <v>19</v>
      </c>
      <c r="L3" s="20">
        <f t="shared" ref="L3:L11" si="2">H2</f>
        <v>0.17391304347826089</v>
      </c>
      <c r="M3" s="20">
        <f>H11</f>
        <v>0.13043478260869565</v>
      </c>
      <c r="N3" s="20">
        <f>H20</f>
        <v>0.13043478260869565</v>
      </c>
      <c r="O3" s="20">
        <f>H29</f>
        <v>0.56521739130434778</v>
      </c>
    </row>
    <row r="4" spans="1:21" x14ac:dyDescent="0.2">
      <c r="A4" s="8" t="s">
        <v>17</v>
      </c>
      <c r="B4" s="9">
        <f t="shared" ref="B4:B10" si="3">34/242</f>
        <v>0.14049586776859505</v>
      </c>
      <c r="C4" s="8" t="s">
        <v>18</v>
      </c>
      <c r="D4" s="10">
        <f t="shared" ref="D4" si="4">11/34</f>
        <v>0.3235294117647059</v>
      </c>
      <c r="E4" s="11" t="s">
        <v>24</v>
      </c>
      <c r="F4" s="12">
        <f>1/11</f>
        <v>9.0909090909090912E-2</v>
      </c>
      <c r="G4" s="24">
        <f t="shared" si="0"/>
        <v>4.1322314049586778E-3</v>
      </c>
      <c r="H4" s="24">
        <f t="shared" si="1"/>
        <v>0.04</v>
      </c>
      <c r="J4" s="18" t="s">
        <v>18</v>
      </c>
      <c r="K4" s="19" t="s">
        <v>25</v>
      </c>
      <c r="L4" s="20">
        <f t="shared" si="2"/>
        <v>0.11320754716981131</v>
      </c>
      <c r="M4" s="20">
        <f>H12</f>
        <v>0.20754716981132074</v>
      </c>
      <c r="N4" s="20">
        <f>H21</f>
        <v>9.4339622641509427E-2</v>
      </c>
      <c r="O4" s="20">
        <f t="shared" ref="O4:O11" si="5">H30</f>
        <v>0.58490566037735858</v>
      </c>
    </row>
    <row r="5" spans="1:21" x14ac:dyDescent="0.2">
      <c r="A5" s="8" t="s">
        <v>17</v>
      </c>
      <c r="B5" s="9">
        <f t="shared" si="3"/>
        <v>0.14049586776859505</v>
      </c>
      <c r="C5" s="8" t="s">
        <v>26</v>
      </c>
      <c r="D5" s="10">
        <f>12/34</f>
        <v>0.35294117647058826</v>
      </c>
      <c r="E5" s="11" t="s">
        <v>19</v>
      </c>
      <c r="F5" s="12">
        <f>4/12</f>
        <v>0.33333333333333331</v>
      </c>
      <c r="G5" s="24">
        <f t="shared" si="0"/>
        <v>1.6528925619834711E-2</v>
      </c>
      <c r="H5" s="24">
        <f t="shared" si="1"/>
        <v>0.2857142857142857</v>
      </c>
      <c r="J5" s="18" t="s">
        <v>18</v>
      </c>
      <c r="K5" s="19" t="s">
        <v>27</v>
      </c>
      <c r="L5" s="20">
        <f t="shared" si="2"/>
        <v>0.04</v>
      </c>
      <c r="M5" s="20">
        <f t="shared" ref="M5:M11" si="6">H13</f>
        <v>7.9999999999999988E-2</v>
      </c>
      <c r="N5" s="20">
        <f t="shared" ref="N5:N11" si="7">H22</f>
        <v>7.9999999999999988E-2</v>
      </c>
      <c r="O5" s="20">
        <f t="shared" si="5"/>
        <v>0.8</v>
      </c>
    </row>
    <row r="6" spans="1:21" x14ac:dyDescent="0.2">
      <c r="A6" s="8" t="s">
        <v>17</v>
      </c>
      <c r="B6" s="9">
        <f t="shared" si="3"/>
        <v>0.14049586776859505</v>
      </c>
      <c r="C6" s="8" t="s">
        <v>26</v>
      </c>
      <c r="D6" s="10">
        <f>12/34</f>
        <v>0.35294117647058826</v>
      </c>
      <c r="E6" s="11" t="s">
        <v>23</v>
      </c>
      <c r="F6" s="12">
        <f>7/12</f>
        <v>0.58333333333333337</v>
      </c>
      <c r="G6" s="24">
        <f t="shared" si="0"/>
        <v>2.8925619834710748E-2</v>
      </c>
      <c r="H6" s="24">
        <f t="shared" si="1"/>
        <v>0.12280701754385966</v>
      </c>
      <c r="J6" s="21" t="s">
        <v>46</v>
      </c>
      <c r="K6" s="22" t="s">
        <v>19</v>
      </c>
      <c r="L6" s="23">
        <f t="shared" si="2"/>
        <v>0.2857142857142857</v>
      </c>
      <c r="M6" s="23">
        <f t="shared" si="6"/>
        <v>0.49999999999999994</v>
      </c>
      <c r="N6" s="23">
        <f t="shared" si="7"/>
        <v>7.1428571428571425E-2</v>
      </c>
      <c r="O6" s="23">
        <f t="shared" si="5"/>
        <v>0.14285714285714285</v>
      </c>
    </row>
    <row r="7" spans="1:21" x14ac:dyDescent="0.2">
      <c r="A7" s="8" t="s">
        <v>17</v>
      </c>
      <c r="B7" s="9">
        <f t="shared" si="3"/>
        <v>0.14049586776859505</v>
      </c>
      <c r="C7" s="8" t="s">
        <v>26</v>
      </c>
      <c r="D7" s="10">
        <f>12/34</f>
        <v>0.35294117647058826</v>
      </c>
      <c r="E7" s="11" t="s">
        <v>24</v>
      </c>
      <c r="F7" s="12">
        <f>1/12</f>
        <v>8.3333333333333329E-2</v>
      </c>
      <c r="G7" s="24">
        <f t="shared" si="0"/>
        <v>4.1322314049586778E-3</v>
      </c>
      <c r="H7" s="24">
        <f t="shared" si="1"/>
        <v>4.5454545454545456E-2</v>
      </c>
      <c r="J7" s="21" t="s">
        <v>46</v>
      </c>
      <c r="K7" s="19" t="s">
        <v>25</v>
      </c>
      <c r="L7" s="20">
        <f t="shared" si="2"/>
        <v>0.12280701754385966</v>
      </c>
      <c r="M7" s="20">
        <f t="shared" si="6"/>
        <v>0.24561403508771926</v>
      </c>
      <c r="N7" s="20">
        <f t="shared" si="7"/>
        <v>0.17543859649122806</v>
      </c>
      <c r="O7" s="20">
        <f t="shared" si="5"/>
        <v>0.45614035087719296</v>
      </c>
    </row>
    <row r="8" spans="1:21" x14ac:dyDescent="0.2">
      <c r="A8" s="8" t="s">
        <v>17</v>
      </c>
      <c r="B8" s="9">
        <f t="shared" si="3"/>
        <v>0.14049586776859505</v>
      </c>
      <c r="C8" s="8" t="s">
        <v>28</v>
      </c>
      <c r="D8" s="10">
        <f>11/34</f>
        <v>0.3235294117647059</v>
      </c>
      <c r="E8" s="11" t="s">
        <v>19</v>
      </c>
      <c r="F8" s="12">
        <f>0/11</f>
        <v>0</v>
      </c>
      <c r="G8" s="24">
        <f t="shared" si="0"/>
        <v>0</v>
      </c>
      <c r="H8" s="24">
        <f t="shared" si="1"/>
        <v>0</v>
      </c>
      <c r="J8" s="21" t="s">
        <v>46</v>
      </c>
      <c r="K8" s="19" t="s">
        <v>27</v>
      </c>
      <c r="L8" s="20">
        <f t="shared" si="2"/>
        <v>4.5454545454545456E-2</v>
      </c>
      <c r="M8" s="23">
        <f>H16</f>
        <v>0.22727272727272727</v>
      </c>
      <c r="N8" s="20">
        <f t="shared" si="7"/>
        <v>0.27272727272727271</v>
      </c>
      <c r="O8" s="20">
        <f t="shared" si="5"/>
        <v>0.45454545454545453</v>
      </c>
    </row>
    <row r="9" spans="1:21" x14ac:dyDescent="0.2">
      <c r="A9" s="8" t="s">
        <v>17</v>
      </c>
      <c r="B9" s="9">
        <f t="shared" si="3"/>
        <v>0.14049586776859505</v>
      </c>
      <c r="C9" s="8" t="s">
        <v>28</v>
      </c>
      <c r="D9" s="10">
        <f>11/34</f>
        <v>0.3235294117647059</v>
      </c>
      <c r="E9" s="11" t="s">
        <v>23</v>
      </c>
      <c r="F9" s="12">
        <f>8/11</f>
        <v>0.72727272727272729</v>
      </c>
      <c r="G9" s="24">
        <f t="shared" si="0"/>
        <v>3.3057851239669422E-2</v>
      </c>
      <c r="H9" s="24">
        <f t="shared" si="1"/>
        <v>0.34782608695652173</v>
      </c>
      <c r="J9" s="18" t="s">
        <v>28</v>
      </c>
      <c r="K9" s="19" t="s">
        <v>19</v>
      </c>
      <c r="L9" s="20">
        <f t="shared" si="2"/>
        <v>0</v>
      </c>
      <c r="M9" s="20">
        <f t="shared" si="6"/>
        <v>1</v>
      </c>
      <c r="N9" s="20">
        <f t="shared" si="7"/>
        <v>0</v>
      </c>
      <c r="O9" s="20">
        <f t="shared" si="5"/>
        <v>0</v>
      </c>
    </row>
    <row r="10" spans="1:21" x14ac:dyDescent="0.2">
      <c r="A10" s="8" t="s">
        <v>17</v>
      </c>
      <c r="B10" s="9">
        <f t="shared" si="3"/>
        <v>0.14049586776859505</v>
      </c>
      <c r="C10" s="8" t="s">
        <v>28</v>
      </c>
      <c r="D10" s="10">
        <f>11/34</f>
        <v>0.3235294117647059</v>
      </c>
      <c r="E10" s="11" t="s">
        <v>24</v>
      </c>
      <c r="F10" s="12">
        <f>3/11</f>
        <v>0.27272727272727271</v>
      </c>
      <c r="G10" s="24">
        <f t="shared" si="0"/>
        <v>1.2396694214876032E-2</v>
      </c>
      <c r="H10" s="24">
        <f t="shared" si="1"/>
        <v>0.12499999999999999</v>
      </c>
      <c r="J10" s="18" t="s">
        <v>28</v>
      </c>
      <c r="K10" s="19" t="s">
        <v>25</v>
      </c>
      <c r="L10" s="20">
        <f t="shared" si="2"/>
        <v>0.34782608695652173</v>
      </c>
      <c r="M10" s="20">
        <f t="shared" si="6"/>
        <v>0.30434782608695649</v>
      </c>
      <c r="N10" s="20">
        <f t="shared" si="7"/>
        <v>0.2608695652173913</v>
      </c>
      <c r="O10" s="20">
        <f t="shared" si="5"/>
        <v>8.6956521739130432E-2</v>
      </c>
    </row>
    <row r="11" spans="1:21" x14ac:dyDescent="0.2">
      <c r="A11" s="8" t="s">
        <v>29</v>
      </c>
      <c r="B11" s="9">
        <f>57/242</f>
        <v>0.23553719008264462</v>
      </c>
      <c r="C11" s="8" t="s">
        <v>18</v>
      </c>
      <c r="D11" s="10">
        <f>16/57</f>
        <v>0.2807017543859649</v>
      </c>
      <c r="E11" s="11" t="s">
        <v>19</v>
      </c>
      <c r="F11" s="12">
        <f>3/16</f>
        <v>0.1875</v>
      </c>
      <c r="G11" s="24">
        <f t="shared" si="0"/>
        <v>1.239669421487603E-2</v>
      </c>
      <c r="H11" s="24">
        <f>G11/(G11+G2+G20+G29)</f>
        <v>0.13043478260869565</v>
      </c>
      <c r="J11" s="18" t="s">
        <v>28</v>
      </c>
      <c r="K11" s="19" t="s">
        <v>27</v>
      </c>
      <c r="L11" s="20">
        <f t="shared" si="2"/>
        <v>0.12499999999999999</v>
      </c>
      <c r="M11" s="20">
        <f t="shared" si="6"/>
        <v>0.29166666666666663</v>
      </c>
      <c r="N11" s="20">
        <f t="shared" si="7"/>
        <v>0.25</v>
      </c>
      <c r="O11" s="20">
        <f t="shared" si="5"/>
        <v>0.33333333333333331</v>
      </c>
    </row>
    <row r="12" spans="1:21" x14ac:dyDescent="0.2">
      <c r="A12" s="8" t="s">
        <v>29</v>
      </c>
      <c r="B12" s="9">
        <f>57/242</f>
        <v>0.23553719008264462</v>
      </c>
      <c r="C12" s="8" t="s">
        <v>18</v>
      </c>
      <c r="D12" s="10">
        <f>16/57</f>
        <v>0.2807017543859649</v>
      </c>
      <c r="E12" s="11" t="s">
        <v>23</v>
      </c>
      <c r="F12" s="12">
        <f>11/16</f>
        <v>0.6875</v>
      </c>
      <c r="G12" s="24">
        <f t="shared" si="0"/>
        <v>4.5454545454545449E-2</v>
      </c>
      <c r="H12" s="24">
        <f>G12/(G12+G3+G21+G30)</f>
        <v>0.20754716981132074</v>
      </c>
      <c r="J12" s="13"/>
      <c r="K12" s="11"/>
      <c r="L12" s="24"/>
      <c r="M12" s="24"/>
      <c r="N12" s="24"/>
      <c r="O12" s="24"/>
    </row>
    <row r="13" spans="1:21" x14ac:dyDescent="0.2">
      <c r="A13" s="8" t="s">
        <v>29</v>
      </c>
      <c r="B13" s="9">
        <f t="shared" ref="B13:B19" si="8">57/242</f>
        <v>0.23553719008264462</v>
      </c>
      <c r="C13" s="8" t="s">
        <v>18</v>
      </c>
      <c r="D13" s="10">
        <f>16/57</f>
        <v>0.2807017543859649</v>
      </c>
      <c r="E13" s="11" t="s">
        <v>24</v>
      </c>
      <c r="F13" s="12">
        <f>2/16</f>
        <v>0.125</v>
      </c>
      <c r="G13" s="24">
        <f t="shared" si="0"/>
        <v>8.2644628099173539E-3</v>
      </c>
      <c r="H13" s="24">
        <f>G13/(G13+G4+G22+G31)</f>
        <v>7.9999999999999988E-2</v>
      </c>
      <c r="J13" s="25" t="s">
        <v>30</v>
      </c>
      <c r="K13" s="26" t="s">
        <v>31</v>
      </c>
      <c r="L13" s="27" t="s">
        <v>32</v>
      </c>
      <c r="M13" s="26" t="s">
        <v>33</v>
      </c>
      <c r="N13" s="27" t="s">
        <v>34</v>
      </c>
      <c r="O13" s="26" t="s">
        <v>35</v>
      </c>
      <c r="P13" s="27" t="s">
        <v>36</v>
      </c>
      <c r="Q13" s="26" t="s">
        <v>37</v>
      </c>
      <c r="R13" s="27" t="s">
        <v>38</v>
      </c>
      <c r="S13" s="26" t="s">
        <v>39</v>
      </c>
      <c r="U13" s="14" t="s">
        <v>40</v>
      </c>
    </row>
    <row r="14" spans="1:21" x14ac:dyDescent="0.2">
      <c r="A14" s="8" t="s">
        <v>29</v>
      </c>
      <c r="B14" s="9">
        <f t="shared" si="8"/>
        <v>0.23553719008264462</v>
      </c>
      <c r="C14" s="8" t="s">
        <v>26</v>
      </c>
      <c r="D14" s="10">
        <f>26/57</f>
        <v>0.45614035087719296</v>
      </c>
      <c r="E14" s="11" t="s">
        <v>19</v>
      </c>
      <c r="F14" s="12">
        <f>7/26</f>
        <v>0.26923076923076922</v>
      </c>
      <c r="G14" s="24">
        <f t="shared" si="0"/>
        <v>2.8925619834710741E-2</v>
      </c>
      <c r="H14" s="24">
        <f>G14/(G14+G5+G23+G32)</f>
        <v>0.49999999999999994</v>
      </c>
      <c r="J14" s="18" t="s">
        <v>6</v>
      </c>
      <c r="K14" s="28">
        <v>0.17</v>
      </c>
      <c r="L14" s="28">
        <v>0.11</v>
      </c>
      <c r="M14" s="28">
        <v>3.7037037037037035E-2</v>
      </c>
      <c r="N14" s="28">
        <v>0.28999999999999998</v>
      </c>
      <c r="O14" s="28">
        <v>0.12</v>
      </c>
      <c r="P14" s="28">
        <v>0.05</v>
      </c>
      <c r="Q14" s="28">
        <v>0</v>
      </c>
      <c r="R14" s="28">
        <v>0.25</v>
      </c>
      <c r="S14" s="28">
        <v>0.12500000000000003</v>
      </c>
    </row>
    <row r="15" spans="1:21" x14ac:dyDescent="0.2">
      <c r="A15" s="8" t="s">
        <v>29</v>
      </c>
      <c r="B15" s="9">
        <f t="shared" si="8"/>
        <v>0.23553719008264462</v>
      </c>
      <c r="C15" s="8" t="s">
        <v>26</v>
      </c>
      <c r="D15" s="10">
        <f>26/57</f>
        <v>0.45614035087719296</v>
      </c>
      <c r="E15" s="11" t="s">
        <v>23</v>
      </c>
      <c r="F15" s="12">
        <f>14/26</f>
        <v>0.53846153846153844</v>
      </c>
      <c r="G15" s="24">
        <f t="shared" si="0"/>
        <v>5.7851239669421482E-2</v>
      </c>
      <c r="H15" s="24">
        <f>G15/(G6+G15+G24+G33)</f>
        <v>0.24561403508771926</v>
      </c>
      <c r="J15" s="21" t="s">
        <v>21</v>
      </c>
      <c r="K15" s="28">
        <v>0.13043478260869568</v>
      </c>
      <c r="L15" s="28">
        <v>0.2</v>
      </c>
      <c r="M15" s="28">
        <v>0.08</v>
      </c>
      <c r="N15" s="28">
        <v>0.5</v>
      </c>
      <c r="O15" s="28">
        <v>0.25</v>
      </c>
      <c r="P15" s="28">
        <v>0.23</v>
      </c>
      <c r="Q15" s="28">
        <v>1</v>
      </c>
      <c r="R15" s="28">
        <v>0.3</v>
      </c>
      <c r="S15" s="28">
        <v>0.29166666666666669</v>
      </c>
    </row>
    <row r="16" spans="1:21" x14ac:dyDescent="0.2">
      <c r="A16" s="8" t="s">
        <v>29</v>
      </c>
      <c r="B16" s="9">
        <f t="shared" si="8"/>
        <v>0.23553719008264462</v>
      </c>
      <c r="C16" s="8" t="s">
        <v>26</v>
      </c>
      <c r="D16" s="10">
        <f>26/57</f>
        <v>0.45614035087719296</v>
      </c>
      <c r="E16" s="11" t="s">
        <v>24</v>
      </c>
      <c r="F16" s="12">
        <f>5/26</f>
        <v>0.19230769230769232</v>
      </c>
      <c r="G16" s="24">
        <f t="shared" si="0"/>
        <v>2.0661157024793389E-2</v>
      </c>
      <c r="H16" s="24">
        <f>G16/(G16+G7+G25+G34)</f>
        <v>0.22727272727272727</v>
      </c>
      <c r="J16" s="18" t="s">
        <v>22</v>
      </c>
      <c r="K16" s="28">
        <v>0.13</v>
      </c>
      <c r="L16" s="28">
        <v>9.0909090909090912E-2</v>
      </c>
      <c r="M16" s="28">
        <v>0.08</v>
      </c>
      <c r="N16" s="28">
        <v>7.0000000000000007E-2</v>
      </c>
      <c r="O16" s="28">
        <v>0.18</v>
      </c>
      <c r="P16" s="28">
        <v>0.27</v>
      </c>
      <c r="Q16" s="28">
        <v>0</v>
      </c>
      <c r="R16" s="28">
        <v>0.26</v>
      </c>
      <c r="S16" s="28">
        <v>0.25</v>
      </c>
    </row>
    <row r="17" spans="1:19" x14ac:dyDescent="0.2">
      <c r="A17" s="8" t="s">
        <v>29</v>
      </c>
      <c r="B17" s="9">
        <f t="shared" si="8"/>
        <v>0.23553719008264462</v>
      </c>
      <c r="C17" s="8" t="s">
        <v>28</v>
      </c>
      <c r="D17" s="10">
        <f>15/57</f>
        <v>0.26315789473684209</v>
      </c>
      <c r="E17" s="11" t="s">
        <v>19</v>
      </c>
      <c r="F17" s="12">
        <f>1/15</f>
        <v>6.6666666666666666E-2</v>
      </c>
      <c r="G17" s="24">
        <f t="shared" si="0"/>
        <v>4.1322314049586769E-3</v>
      </c>
      <c r="H17" s="24">
        <f>G17/(G8+G17+G26+G35)</f>
        <v>1</v>
      </c>
      <c r="J17" s="29">
        <v>1</v>
      </c>
      <c r="K17" s="28">
        <v>0.56521739130434778</v>
      </c>
      <c r="L17" s="28">
        <v>0.6</v>
      </c>
      <c r="M17" s="28">
        <v>0.8</v>
      </c>
      <c r="N17" s="28">
        <v>0.14000000000000001</v>
      </c>
      <c r="O17" s="28">
        <v>0.46</v>
      </c>
      <c r="P17" s="28">
        <v>0.46</v>
      </c>
      <c r="Q17" s="28">
        <v>0</v>
      </c>
      <c r="R17" s="28">
        <v>8.6956521739130432E-2</v>
      </c>
      <c r="S17" s="28">
        <v>0.33333333333333331</v>
      </c>
    </row>
    <row r="18" spans="1:19" x14ac:dyDescent="0.2">
      <c r="A18" s="8" t="s">
        <v>29</v>
      </c>
      <c r="B18" s="9">
        <f t="shared" si="8"/>
        <v>0.23553719008264462</v>
      </c>
      <c r="C18" s="8" t="s">
        <v>28</v>
      </c>
      <c r="D18" s="10">
        <f>15/57</f>
        <v>0.26315789473684209</v>
      </c>
      <c r="E18" s="11" t="s">
        <v>23</v>
      </c>
      <c r="F18" s="12">
        <f>7/15</f>
        <v>0.46666666666666667</v>
      </c>
      <c r="G18" s="24">
        <f t="shared" si="0"/>
        <v>2.8925619834710741E-2</v>
      </c>
      <c r="H18" s="24">
        <f>G18/(G18+G9+G27+G36)</f>
        <v>0.30434782608695649</v>
      </c>
      <c r="K18" s="30"/>
    </row>
    <row r="19" spans="1:19" x14ac:dyDescent="0.2">
      <c r="A19" s="8" t="s">
        <v>29</v>
      </c>
      <c r="B19" s="9">
        <f t="shared" si="8"/>
        <v>0.23553719008264462</v>
      </c>
      <c r="C19" s="8" t="s">
        <v>28</v>
      </c>
      <c r="D19" s="10">
        <f>15/57</f>
        <v>0.26315789473684209</v>
      </c>
      <c r="E19" s="11" t="s">
        <v>24</v>
      </c>
      <c r="F19" s="12">
        <f>7/15</f>
        <v>0.46666666666666667</v>
      </c>
      <c r="G19" s="24">
        <f t="shared" si="0"/>
        <v>2.8925619834710741E-2</v>
      </c>
      <c r="H19" s="24">
        <f>G19/(G19+G10+G28+G37)</f>
        <v>0.29166666666666663</v>
      </c>
      <c r="K19" s="31"/>
      <c r="L19" s="31"/>
      <c r="M19" s="31"/>
      <c r="N19" s="31"/>
      <c r="O19" s="31"/>
      <c r="P19" s="31"/>
      <c r="Q19" s="31"/>
      <c r="R19" s="31"/>
      <c r="S19" s="31"/>
    </row>
    <row r="20" spans="1:19" x14ac:dyDescent="0.2">
      <c r="A20" s="8" t="s">
        <v>41</v>
      </c>
      <c r="B20" s="9">
        <f>39/242</f>
        <v>0.16115702479338842</v>
      </c>
      <c r="C20" s="8" t="s">
        <v>18</v>
      </c>
      <c r="D20" s="10">
        <f>10/39</f>
        <v>0.25641025641025639</v>
      </c>
      <c r="E20" s="11" t="s">
        <v>19</v>
      </c>
      <c r="F20" s="12">
        <f>3/10</f>
        <v>0.3</v>
      </c>
      <c r="G20" s="24">
        <f t="shared" si="0"/>
        <v>1.2396694214876032E-2</v>
      </c>
      <c r="H20" s="24">
        <f>G20/(G2+G11+G20+G29)</f>
        <v>0.13043478260869565</v>
      </c>
      <c r="K20" s="30"/>
    </row>
    <row r="21" spans="1:19" x14ac:dyDescent="0.2">
      <c r="A21" s="8" t="s">
        <v>41</v>
      </c>
      <c r="B21" s="9">
        <f>39/242</f>
        <v>0.16115702479338842</v>
      </c>
      <c r="C21" s="8" t="s">
        <v>18</v>
      </c>
      <c r="D21" s="10">
        <f>10/39</f>
        <v>0.25641025641025639</v>
      </c>
      <c r="E21" s="11" t="s">
        <v>23</v>
      </c>
      <c r="F21" s="12">
        <f>5/10</f>
        <v>0.5</v>
      </c>
      <c r="G21" s="24">
        <f t="shared" si="0"/>
        <v>2.0661157024793386E-2</v>
      </c>
      <c r="H21" s="24">
        <f>G21/(G21+G30+G3+G12)</f>
        <v>9.4339622641509427E-2</v>
      </c>
      <c r="K21" s="30"/>
    </row>
    <row r="22" spans="1:19" x14ac:dyDescent="0.2">
      <c r="A22" s="8" t="s">
        <v>41</v>
      </c>
      <c r="B22" s="9">
        <f t="shared" ref="B22:B28" si="9">39/242</f>
        <v>0.16115702479338842</v>
      </c>
      <c r="C22" s="8" t="s">
        <v>18</v>
      </c>
      <c r="D22" s="10">
        <f>10/39</f>
        <v>0.25641025641025639</v>
      </c>
      <c r="E22" s="11" t="s">
        <v>24</v>
      </c>
      <c r="F22" s="12">
        <f>2/10</f>
        <v>0.2</v>
      </c>
      <c r="G22" s="24">
        <f t="shared" si="0"/>
        <v>8.2644628099173539E-3</v>
      </c>
      <c r="H22" s="24">
        <f>G22/(G22+G31+G4+G13)</f>
        <v>7.9999999999999988E-2</v>
      </c>
    </row>
    <row r="23" spans="1:19" x14ac:dyDescent="0.2">
      <c r="A23" s="8" t="s">
        <v>41</v>
      </c>
      <c r="B23" s="9">
        <f t="shared" si="9"/>
        <v>0.16115702479338842</v>
      </c>
      <c r="C23" s="8" t="s">
        <v>26</v>
      </c>
      <c r="D23" s="10">
        <f>17/39</f>
        <v>0.4358974358974359</v>
      </c>
      <c r="E23" s="11" t="s">
        <v>19</v>
      </c>
      <c r="F23" s="12">
        <f>1/17</f>
        <v>5.8823529411764705E-2</v>
      </c>
      <c r="G23" s="24">
        <f t="shared" si="0"/>
        <v>4.1322314049586778E-3</v>
      </c>
      <c r="H23" s="24">
        <f>G23/(G23+G32+G5+G14)</f>
        <v>7.1428571428571425E-2</v>
      </c>
    </row>
    <row r="24" spans="1:19" x14ac:dyDescent="0.2">
      <c r="A24" s="8" t="s">
        <v>41</v>
      </c>
      <c r="B24" s="9">
        <f t="shared" si="9"/>
        <v>0.16115702479338842</v>
      </c>
      <c r="C24" s="8" t="s">
        <v>26</v>
      </c>
      <c r="D24" s="10">
        <f>17/39</f>
        <v>0.4358974358974359</v>
      </c>
      <c r="E24" s="11" t="s">
        <v>23</v>
      </c>
      <c r="F24" s="12">
        <f>10/17</f>
        <v>0.58823529411764708</v>
      </c>
      <c r="G24" s="24">
        <f t="shared" si="0"/>
        <v>4.1322314049586778E-2</v>
      </c>
      <c r="H24" s="24">
        <f>G24/(G24+G33+G6+G15)</f>
        <v>0.17543859649122806</v>
      </c>
    </row>
    <row r="25" spans="1:19" x14ac:dyDescent="0.2">
      <c r="A25" s="8" t="s">
        <v>41</v>
      </c>
      <c r="B25" s="9">
        <f t="shared" si="9"/>
        <v>0.16115702479338842</v>
      </c>
      <c r="C25" s="8" t="s">
        <v>26</v>
      </c>
      <c r="D25" s="10">
        <f>17/39</f>
        <v>0.4358974358974359</v>
      </c>
      <c r="E25" s="11" t="s">
        <v>24</v>
      </c>
      <c r="F25" s="12">
        <f>6/17</f>
        <v>0.35294117647058826</v>
      </c>
      <c r="G25" s="24">
        <f t="shared" si="0"/>
        <v>2.4793388429752067E-2</v>
      </c>
      <c r="H25" s="24">
        <f>G25/(G7+G16+G25+G34)</f>
        <v>0.27272727272727271</v>
      </c>
    </row>
    <row r="26" spans="1:19" x14ac:dyDescent="0.2">
      <c r="A26" s="8" t="s">
        <v>41</v>
      </c>
      <c r="B26" s="9">
        <f t="shared" si="9"/>
        <v>0.16115702479338842</v>
      </c>
      <c r="C26" s="8" t="s">
        <v>28</v>
      </c>
      <c r="D26" s="10">
        <f>12/39</f>
        <v>0.30769230769230771</v>
      </c>
      <c r="E26" s="11" t="s">
        <v>19</v>
      </c>
      <c r="F26" s="12">
        <f>0/12</f>
        <v>0</v>
      </c>
      <c r="G26" s="24">
        <f t="shared" si="0"/>
        <v>0</v>
      </c>
      <c r="H26" s="24">
        <f>G26/(G26+G35+G8+G17)</f>
        <v>0</v>
      </c>
    </row>
    <row r="27" spans="1:19" x14ac:dyDescent="0.2">
      <c r="A27" s="8" t="s">
        <v>41</v>
      </c>
      <c r="B27" s="9">
        <f t="shared" si="9"/>
        <v>0.16115702479338842</v>
      </c>
      <c r="C27" s="8" t="s">
        <v>28</v>
      </c>
      <c r="D27" s="10">
        <f>12/39</f>
        <v>0.30769230769230771</v>
      </c>
      <c r="E27" s="11" t="s">
        <v>23</v>
      </c>
      <c r="F27" s="12">
        <f>6/12</f>
        <v>0.5</v>
      </c>
      <c r="G27" s="24">
        <f t="shared" si="0"/>
        <v>2.4793388429752067E-2</v>
      </c>
      <c r="H27" s="24">
        <f>G27/(G27+G36+G9+G18)</f>
        <v>0.2608695652173913</v>
      </c>
    </row>
    <row r="28" spans="1:19" x14ac:dyDescent="0.2">
      <c r="A28" s="8" t="s">
        <v>41</v>
      </c>
      <c r="B28" s="9">
        <f t="shared" si="9"/>
        <v>0.16115702479338842</v>
      </c>
      <c r="C28" s="8" t="s">
        <v>28</v>
      </c>
      <c r="D28" s="10">
        <f>12/39</f>
        <v>0.30769230769230771</v>
      </c>
      <c r="E28" s="11" t="s">
        <v>24</v>
      </c>
      <c r="F28" s="12">
        <f>6/12</f>
        <v>0.5</v>
      </c>
      <c r="G28" s="24">
        <f t="shared" si="0"/>
        <v>2.4793388429752067E-2</v>
      </c>
      <c r="H28" s="24">
        <f>G28/(G28+G37+G10+G19)</f>
        <v>0.25</v>
      </c>
    </row>
    <row r="29" spans="1:19" x14ac:dyDescent="0.2">
      <c r="A29" s="32">
        <v>100</v>
      </c>
      <c r="B29" s="10">
        <f>112/242</f>
        <v>0.46280991735537191</v>
      </c>
      <c r="C29" s="8" t="s">
        <v>18</v>
      </c>
      <c r="D29" s="10">
        <f>64/112</f>
        <v>0.5714285714285714</v>
      </c>
      <c r="E29" s="11" t="s">
        <v>19</v>
      </c>
      <c r="F29" s="12">
        <f>13/64</f>
        <v>0.203125</v>
      </c>
      <c r="G29" s="24">
        <f t="shared" si="0"/>
        <v>5.3719008264462811E-2</v>
      </c>
      <c r="H29" s="24">
        <f>G29/(G29+G11+G20+G2)</f>
        <v>0.56521739130434778</v>
      </c>
    </row>
    <row r="30" spans="1:19" x14ac:dyDescent="0.2">
      <c r="A30" s="32">
        <v>100</v>
      </c>
      <c r="B30" s="10">
        <f>112/242</f>
        <v>0.46280991735537191</v>
      </c>
      <c r="C30" s="8" t="s">
        <v>18</v>
      </c>
      <c r="D30" s="10">
        <f>64/112</f>
        <v>0.5714285714285714</v>
      </c>
      <c r="E30" s="11" t="s">
        <v>23</v>
      </c>
      <c r="F30" s="12">
        <f>31/64</f>
        <v>0.484375</v>
      </c>
      <c r="G30" s="24">
        <f t="shared" si="0"/>
        <v>0.12809917355371903</v>
      </c>
      <c r="H30" s="24">
        <f t="shared" ref="H30:H35" si="10">G30/(G30+G3+G12+G21)</f>
        <v>0.58490566037735858</v>
      </c>
      <c r="J30" s="33"/>
    </row>
    <row r="31" spans="1:19" x14ac:dyDescent="0.2">
      <c r="A31" s="32">
        <v>100</v>
      </c>
      <c r="B31" s="10">
        <f t="shared" ref="B31:B37" si="11">112/242</f>
        <v>0.46280991735537191</v>
      </c>
      <c r="C31" s="8" t="s">
        <v>18</v>
      </c>
      <c r="D31" s="10">
        <f>64/112</f>
        <v>0.5714285714285714</v>
      </c>
      <c r="E31" s="11" t="s">
        <v>24</v>
      </c>
      <c r="F31" s="12">
        <f>20/64</f>
        <v>0.3125</v>
      </c>
      <c r="G31" s="24">
        <f t="shared" si="0"/>
        <v>8.2644628099173556E-2</v>
      </c>
      <c r="H31" s="24">
        <f t="shared" si="10"/>
        <v>0.8</v>
      </c>
    </row>
    <row r="32" spans="1:19" x14ac:dyDescent="0.2">
      <c r="A32" s="32">
        <v>100</v>
      </c>
      <c r="B32" s="10">
        <f t="shared" si="11"/>
        <v>0.46280991735537191</v>
      </c>
      <c r="C32" s="8" t="s">
        <v>26</v>
      </c>
      <c r="D32" s="10">
        <f>38/112</f>
        <v>0.3392857142857143</v>
      </c>
      <c r="E32" s="11" t="s">
        <v>19</v>
      </c>
      <c r="F32" s="12">
        <f>2/38</f>
        <v>5.2631578947368418E-2</v>
      </c>
      <c r="G32" s="24">
        <f t="shared" si="0"/>
        <v>8.2644628099173556E-3</v>
      </c>
      <c r="H32" s="24">
        <f t="shared" si="10"/>
        <v>0.14285714285714285</v>
      </c>
      <c r="I32" s="33"/>
    </row>
    <row r="33" spans="1:12" x14ac:dyDescent="0.2">
      <c r="A33" s="32">
        <v>100</v>
      </c>
      <c r="B33" s="10">
        <f t="shared" si="11"/>
        <v>0.46280991735537191</v>
      </c>
      <c r="C33" s="8" t="s">
        <v>26</v>
      </c>
      <c r="D33" s="10">
        <f>38/112</f>
        <v>0.3392857142857143</v>
      </c>
      <c r="E33" s="11" t="s">
        <v>23</v>
      </c>
      <c r="F33" s="12">
        <f>26/38</f>
        <v>0.68421052631578949</v>
      </c>
      <c r="G33" s="24">
        <f t="shared" si="0"/>
        <v>0.10743801652892562</v>
      </c>
      <c r="H33" s="24">
        <f t="shared" si="10"/>
        <v>0.45614035087719296</v>
      </c>
      <c r="I33" s="33"/>
      <c r="L33" s="34"/>
    </row>
    <row r="34" spans="1:12" x14ac:dyDescent="0.2">
      <c r="A34" s="32">
        <v>100</v>
      </c>
      <c r="B34" s="10">
        <f t="shared" si="11"/>
        <v>0.46280991735537191</v>
      </c>
      <c r="C34" s="8" t="s">
        <v>26</v>
      </c>
      <c r="D34" s="10">
        <f>38/112</f>
        <v>0.3392857142857143</v>
      </c>
      <c r="E34" s="11" t="s">
        <v>24</v>
      </c>
      <c r="F34" s="12">
        <f>10/38</f>
        <v>0.26315789473684209</v>
      </c>
      <c r="G34" s="24">
        <f t="shared" si="0"/>
        <v>4.1322314049586778E-2</v>
      </c>
      <c r="H34" s="24">
        <f t="shared" si="10"/>
        <v>0.45454545454545453</v>
      </c>
      <c r="I34" s="33"/>
      <c r="L34" s="34"/>
    </row>
    <row r="35" spans="1:12" x14ac:dyDescent="0.2">
      <c r="A35" s="32">
        <v>100</v>
      </c>
      <c r="B35" s="10">
        <f t="shared" si="11"/>
        <v>0.46280991735537191</v>
      </c>
      <c r="C35" s="8" t="s">
        <v>28</v>
      </c>
      <c r="D35" s="10">
        <f>10/112</f>
        <v>8.9285714285714288E-2</v>
      </c>
      <c r="E35" s="11" t="s">
        <v>19</v>
      </c>
      <c r="F35" s="12">
        <f>0/10</f>
        <v>0</v>
      </c>
      <c r="G35" s="24">
        <f t="shared" si="0"/>
        <v>0</v>
      </c>
      <c r="H35" s="24">
        <f t="shared" si="10"/>
        <v>0</v>
      </c>
      <c r="L35" s="34"/>
    </row>
    <row r="36" spans="1:12" x14ac:dyDescent="0.2">
      <c r="A36" s="32">
        <v>100</v>
      </c>
      <c r="B36" s="10">
        <f t="shared" si="11"/>
        <v>0.46280991735537191</v>
      </c>
      <c r="C36" s="8" t="s">
        <v>28</v>
      </c>
      <c r="D36" s="10">
        <f>10/112</f>
        <v>8.9285714285714288E-2</v>
      </c>
      <c r="E36" s="11" t="s">
        <v>23</v>
      </c>
      <c r="F36" s="12">
        <f>2/10</f>
        <v>0.2</v>
      </c>
      <c r="G36" s="24">
        <f t="shared" si="0"/>
        <v>8.2644628099173556E-3</v>
      </c>
      <c r="H36" s="24">
        <f>G36/(G36+G27+G18+G9)</f>
        <v>8.6956521739130432E-2</v>
      </c>
      <c r="L36" s="34"/>
    </row>
    <row r="37" spans="1:12" x14ac:dyDescent="0.2">
      <c r="A37" s="32">
        <v>100</v>
      </c>
      <c r="B37" s="10">
        <f t="shared" si="11"/>
        <v>0.46280991735537191</v>
      </c>
      <c r="C37" s="8" t="s">
        <v>28</v>
      </c>
      <c r="D37" s="10">
        <f>10/112</f>
        <v>8.9285714285714288E-2</v>
      </c>
      <c r="E37" s="11" t="s">
        <v>24</v>
      </c>
      <c r="F37" s="12">
        <f>8/10</f>
        <v>0.8</v>
      </c>
      <c r="G37" s="24">
        <f t="shared" si="0"/>
        <v>3.3057851239669422E-2</v>
      </c>
      <c r="H37" s="24">
        <f>G37/(G37+G28+G19+G10)</f>
        <v>0.33333333333333331</v>
      </c>
    </row>
    <row r="38" spans="1:12" x14ac:dyDescent="0.2">
      <c r="E38" s="14"/>
      <c r="F38" s="34"/>
    </row>
    <row r="39" spans="1:12" x14ac:dyDescent="0.2">
      <c r="E39" s="14"/>
      <c r="F39" s="45"/>
    </row>
    <row r="40" spans="1:12" x14ac:dyDescent="0.2">
      <c r="F40" s="34"/>
    </row>
    <row r="41" spans="1:12" x14ac:dyDescent="0.2">
      <c r="F41" s="34"/>
    </row>
    <row r="42" spans="1:12" x14ac:dyDescent="0.2">
      <c r="F42" s="34"/>
    </row>
    <row r="43" spans="1:12" x14ac:dyDescent="0.2">
      <c r="F43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workbookViewId="0">
      <selection sqref="A1:N1048576"/>
    </sheetView>
  </sheetViews>
  <sheetFormatPr defaultRowHeight="14.25" x14ac:dyDescent="0.2"/>
  <cols>
    <col min="1" max="1" width="9" style="60"/>
    <col min="2" max="2" width="10.25" style="60" bestFit="1" customWidth="1"/>
    <col min="3" max="3" width="13.25" style="60" bestFit="1" customWidth="1"/>
    <col min="4" max="4" width="10.75" style="60" bestFit="1" customWidth="1"/>
    <col min="5" max="5" width="9.25" style="60" bestFit="1" customWidth="1"/>
    <col min="6" max="6" width="9.75" style="60" bestFit="1" customWidth="1"/>
    <col min="7" max="7" width="10.25" style="60" bestFit="1" customWidth="1"/>
    <col min="8" max="8" width="12.75" style="60" bestFit="1" customWidth="1"/>
    <col min="9" max="9" width="9.5" style="60" bestFit="1" customWidth="1"/>
    <col min="10" max="10" width="9.75" style="60" bestFit="1" customWidth="1"/>
    <col min="11" max="11" width="9.5" style="60" bestFit="1" customWidth="1"/>
    <col min="12" max="12" width="16.75" style="60" bestFit="1" customWidth="1"/>
    <col min="13" max="13" width="17.125" style="60" bestFit="1" customWidth="1"/>
    <col min="14" max="14" width="12.25" style="60" bestFit="1" customWidth="1"/>
  </cols>
  <sheetData>
    <row r="1" spans="1:14" x14ac:dyDescent="0.2">
      <c r="A1" s="48" t="s">
        <v>42</v>
      </c>
      <c r="B1" s="48" t="s">
        <v>13</v>
      </c>
      <c r="C1" s="48" t="s">
        <v>44</v>
      </c>
      <c r="D1" s="48" t="s">
        <v>51</v>
      </c>
      <c r="E1" s="48" t="s">
        <v>52</v>
      </c>
      <c r="F1" s="48" t="s">
        <v>1</v>
      </c>
      <c r="G1" s="48" t="s">
        <v>2</v>
      </c>
      <c r="H1" s="48" t="s">
        <v>45</v>
      </c>
      <c r="I1" s="48" t="s">
        <v>43</v>
      </c>
      <c r="J1" s="48" t="s">
        <v>50</v>
      </c>
      <c r="K1" s="48" t="s">
        <v>43</v>
      </c>
      <c r="L1" s="49" t="s">
        <v>3</v>
      </c>
      <c r="M1" s="49" t="s">
        <v>4</v>
      </c>
      <c r="N1" s="49" t="s">
        <v>5</v>
      </c>
    </row>
    <row r="2" spans="1:14" x14ac:dyDescent="0.2">
      <c r="A2" s="47" t="s">
        <v>48</v>
      </c>
      <c r="B2" s="47">
        <v>952</v>
      </c>
      <c r="C2" s="46" t="s">
        <v>56</v>
      </c>
      <c r="D2" s="54">
        <v>50</v>
      </c>
      <c r="E2" s="54">
        <v>1</v>
      </c>
      <c r="F2" s="47">
        <v>51</v>
      </c>
      <c r="G2" s="47">
        <v>145</v>
      </c>
      <c r="H2" s="46" t="s">
        <v>53</v>
      </c>
      <c r="I2" s="47">
        <v>35.172413793103445</v>
      </c>
      <c r="J2" s="1" t="s">
        <v>6</v>
      </c>
      <c r="K2" s="47">
        <v>35.172413793103445</v>
      </c>
      <c r="L2" s="1">
        <v>1</v>
      </c>
      <c r="M2" s="46">
        <v>1</v>
      </c>
      <c r="N2" s="46">
        <v>1</v>
      </c>
    </row>
    <row r="3" spans="1:14" x14ac:dyDescent="0.2">
      <c r="A3" s="47" t="s">
        <v>48</v>
      </c>
      <c r="B3" s="47">
        <v>1424</v>
      </c>
      <c r="C3" s="46" t="s">
        <v>56</v>
      </c>
      <c r="D3" s="47">
        <v>36.400000000000091</v>
      </c>
      <c r="E3" s="47">
        <v>0</v>
      </c>
      <c r="F3" s="47">
        <f>E3+D3</f>
        <v>36.400000000000091</v>
      </c>
      <c r="G3" s="47">
        <v>99</v>
      </c>
      <c r="H3" s="46" t="s">
        <v>53</v>
      </c>
      <c r="I3" s="47">
        <f>F3/G3*100</f>
        <v>36.767676767676861</v>
      </c>
      <c r="J3" s="1" t="s">
        <v>6</v>
      </c>
      <c r="K3" s="47">
        <f>I3</f>
        <v>36.767676767676861</v>
      </c>
      <c r="L3" s="1">
        <v>1</v>
      </c>
      <c r="M3" s="46">
        <v>1</v>
      </c>
      <c r="N3" s="46">
        <v>1</v>
      </c>
    </row>
    <row r="4" spans="1:14" x14ac:dyDescent="0.2">
      <c r="A4" s="47" t="s">
        <v>48</v>
      </c>
      <c r="B4" s="47">
        <v>1932</v>
      </c>
      <c r="C4" s="46" t="s">
        <v>57</v>
      </c>
      <c r="D4" s="47">
        <v>12</v>
      </c>
      <c r="E4" s="47">
        <v>0</v>
      </c>
      <c r="F4" s="47">
        <v>12</v>
      </c>
      <c r="G4" s="47">
        <v>36</v>
      </c>
      <c r="H4" s="46" t="s">
        <v>53</v>
      </c>
      <c r="I4" s="47">
        <v>33</v>
      </c>
      <c r="J4" s="1" t="s">
        <v>6</v>
      </c>
      <c r="K4" s="47">
        <v>33</v>
      </c>
      <c r="L4" s="1">
        <v>1</v>
      </c>
      <c r="M4" s="46">
        <v>1</v>
      </c>
      <c r="N4" s="46">
        <v>2</v>
      </c>
    </row>
    <row r="5" spans="1:14" x14ac:dyDescent="0.2">
      <c r="A5" s="47" t="s">
        <v>48</v>
      </c>
      <c r="B5" s="47">
        <v>2137</v>
      </c>
      <c r="C5" s="46" t="s">
        <v>57</v>
      </c>
      <c r="D5" s="47">
        <v>53</v>
      </c>
      <c r="E5" s="47">
        <v>0</v>
      </c>
      <c r="F5" s="47">
        <f>E5+D5</f>
        <v>53</v>
      </c>
      <c r="G5" s="47">
        <v>110</v>
      </c>
      <c r="H5" s="46" t="s">
        <v>53</v>
      </c>
      <c r="I5" s="47">
        <f>F5/G5*100</f>
        <v>48.18181818181818</v>
      </c>
      <c r="J5" s="1" t="s">
        <v>6</v>
      </c>
      <c r="K5" s="47">
        <f>I5</f>
        <v>48.18181818181818</v>
      </c>
      <c r="L5" s="1">
        <v>1</v>
      </c>
      <c r="M5" s="46">
        <v>1</v>
      </c>
      <c r="N5" s="46">
        <v>2</v>
      </c>
    </row>
    <row r="6" spans="1:14" x14ac:dyDescent="0.2">
      <c r="A6" s="46" t="s">
        <v>48</v>
      </c>
      <c r="B6" s="46">
        <v>199</v>
      </c>
      <c r="C6" s="46" t="s">
        <v>56</v>
      </c>
      <c r="D6" s="54">
        <v>30</v>
      </c>
      <c r="E6" s="54">
        <v>46</v>
      </c>
      <c r="F6" s="46">
        <v>76</v>
      </c>
      <c r="G6" s="46">
        <v>154</v>
      </c>
      <c r="H6" s="46" t="s">
        <v>54</v>
      </c>
      <c r="I6" s="46">
        <v>49.350649350649348</v>
      </c>
      <c r="J6" s="1" t="s">
        <v>6</v>
      </c>
      <c r="K6" s="46">
        <v>49.350649350649348</v>
      </c>
      <c r="L6" s="1">
        <v>1</v>
      </c>
      <c r="M6" s="46">
        <v>2</v>
      </c>
      <c r="N6" s="46">
        <v>1</v>
      </c>
    </row>
    <row r="7" spans="1:14" x14ac:dyDescent="0.2">
      <c r="A7" s="46" t="s">
        <v>48</v>
      </c>
      <c r="B7" s="46">
        <v>272</v>
      </c>
      <c r="C7" s="46" t="s">
        <v>56</v>
      </c>
      <c r="D7" s="54">
        <v>79</v>
      </c>
      <c r="E7" s="54">
        <v>0</v>
      </c>
      <c r="F7" s="46">
        <v>79</v>
      </c>
      <c r="G7" s="46">
        <v>287</v>
      </c>
      <c r="H7" s="46" t="s">
        <v>54</v>
      </c>
      <c r="I7" s="46">
        <v>27.526132404181187</v>
      </c>
      <c r="J7" s="1" t="s">
        <v>6</v>
      </c>
      <c r="K7" s="46">
        <v>27.526132404181187</v>
      </c>
      <c r="L7" s="1">
        <v>1</v>
      </c>
      <c r="M7" s="46">
        <v>2</v>
      </c>
      <c r="N7" s="46">
        <v>1</v>
      </c>
    </row>
    <row r="8" spans="1:14" x14ac:dyDescent="0.2">
      <c r="A8" s="47" t="s">
        <v>48</v>
      </c>
      <c r="B8" s="47">
        <v>636</v>
      </c>
      <c r="C8" s="46" t="s">
        <v>56</v>
      </c>
      <c r="D8" s="54">
        <v>0</v>
      </c>
      <c r="E8" s="54">
        <v>105</v>
      </c>
      <c r="F8" s="47">
        <v>105</v>
      </c>
      <c r="G8" s="47">
        <v>210</v>
      </c>
      <c r="H8" s="46" t="s">
        <v>54</v>
      </c>
      <c r="I8" s="47">
        <v>50</v>
      </c>
      <c r="J8" s="1" t="s">
        <v>6</v>
      </c>
      <c r="K8" s="47">
        <v>50</v>
      </c>
      <c r="L8" s="1">
        <v>1</v>
      </c>
      <c r="M8" s="46">
        <v>2</v>
      </c>
      <c r="N8" s="46">
        <v>1</v>
      </c>
    </row>
    <row r="9" spans="1:14" x14ac:dyDescent="0.2">
      <c r="A9" s="47" t="s">
        <v>48</v>
      </c>
      <c r="B9" s="47">
        <v>676</v>
      </c>
      <c r="C9" s="46" t="s">
        <v>56</v>
      </c>
      <c r="D9" s="47">
        <v>52</v>
      </c>
      <c r="E9" s="47">
        <v>22</v>
      </c>
      <c r="F9" s="47">
        <f>D9+E9</f>
        <v>74</v>
      </c>
      <c r="G9" s="47">
        <v>189</v>
      </c>
      <c r="H9" s="46" t="s">
        <v>54</v>
      </c>
      <c r="I9" s="47">
        <f>F9/G9*100</f>
        <v>39.153439153439152</v>
      </c>
      <c r="J9" s="1" t="s">
        <v>6</v>
      </c>
      <c r="K9" s="47">
        <f>I9</f>
        <v>39.153439153439152</v>
      </c>
      <c r="L9" s="1">
        <v>1</v>
      </c>
      <c r="M9" s="46">
        <v>2</v>
      </c>
      <c r="N9" s="46">
        <v>1</v>
      </c>
    </row>
    <row r="10" spans="1:14" x14ac:dyDescent="0.2">
      <c r="A10" s="47" t="s">
        <v>48</v>
      </c>
      <c r="B10" s="47">
        <v>1751</v>
      </c>
      <c r="C10" s="46" t="s">
        <v>57</v>
      </c>
      <c r="D10" s="47">
        <v>76</v>
      </c>
      <c r="E10" s="47">
        <v>0</v>
      </c>
      <c r="F10" s="47">
        <f>E10+D10</f>
        <v>76</v>
      </c>
      <c r="G10" s="47">
        <v>170</v>
      </c>
      <c r="H10" s="46" t="s">
        <v>54</v>
      </c>
      <c r="I10" s="47">
        <f>F10/G10*100</f>
        <v>44.705882352941181</v>
      </c>
      <c r="J10" s="1" t="s">
        <v>6</v>
      </c>
      <c r="K10" s="47">
        <f>I10</f>
        <v>44.705882352941181</v>
      </c>
      <c r="L10" s="1">
        <v>1</v>
      </c>
      <c r="M10" s="46">
        <v>2</v>
      </c>
      <c r="N10" s="46">
        <v>2</v>
      </c>
    </row>
    <row r="11" spans="1:14" x14ac:dyDescent="0.2">
      <c r="A11" s="47" t="s">
        <v>48</v>
      </c>
      <c r="B11" s="47">
        <v>1807</v>
      </c>
      <c r="C11" s="46" t="s">
        <v>57</v>
      </c>
      <c r="D11" s="47">
        <v>169</v>
      </c>
      <c r="E11" s="47">
        <v>0</v>
      </c>
      <c r="F11" s="47">
        <f>E11+D11</f>
        <v>169</v>
      </c>
      <c r="G11" s="47">
        <v>385</v>
      </c>
      <c r="H11" s="46" t="s">
        <v>55</v>
      </c>
      <c r="I11" s="47">
        <f>F11/G11*100</f>
        <v>43.896103896103895</v>
      </c>
      <c r="J11" s="1" t="s">
        <v>6</v>
      </c>
      <c r="K11" s="47">
        <f>I11</f>
        <v>43.896103896103895</v>
      </c>
      <c r="L11" s="1">
        <v>1</v>
      </c>
      <c r="M11" s="46">
        <v>3</v>
      </c>
      <c r="N11" s="46">
        <v>2</v>
      </c>
    </row>
    <row r="12" spans="1:14" x14ac:dyDescent="0.2">
      <c r="A12" s="46" t="s">
        <v>48</v>
      </c>
      <c r="B12" s="46">
        <v>216</v>
      </c>
      <c r="C12" s="46" t="s">
        <v>56</v>
      </c>
      <c r="D12" s="54">
        <v>20</v>
      </c>
      <c r="E12" s="54">
        <v>39</v>
      </c>
      <c r="F12" s="46">
        <v>59</v>
      </c>
      <c r="G12" s="46">
        <v>114</v>
      </c>
      <c r="H12" s="46" t="s">
        <v>53</v>
      </c>
      <c r="I12" s="46">
        <v>51.754385964912288</v>
      </c>
      <c r="J12" s="1" t="s">
        <v>7</v>
      </c>
      <c r="K12" s="46">
        <v>51.754385964912288</v>
      </c>
      <c r="L12" s="46">
        <v>2</v>
      </c>
      <c r="M12" s="46">
        <v>1</v>
      </c>
      <c r="N12" s="46">
        <v>1</v>
      </c>
    </row>
    <row r="13" spans="1:14" x14ac:dyDescent="0.2">
      <c r="A13" s="47" t="s">
        <v>48</v>
      </c>
      <c r="B13" s="47">
        <v>1099</v>
      </c>
      <c r="C13" s="46" t="s">
        <v>56</v>
      </c>
      <c r="D13" s="54">
        <v>0</v>
      </c>
      <c r="E13" s="54">
        <v>32</v>
      </c>
      <c r="F13" s="47">
        <v>30</v>
      </c>
      <c r="G13" s="47">
        <v>57</v>
      </c>
      <c r="H13" s="46" t="s">
        <v>53</v>
      </c>
      <c r="I13" s="47">
        <v>52.631578947368418</v>
      </c>
      <c r="J13" s="1" t="s">
        <v>7</v>
      </c>
      <c r="K13" s="47">
        <v>52.631578947368418</v>
      </c>
      <c r="L13" s="46">
        <v>2</v>
      </c>
      <c r="M13" s="46">
        <v>1</v>
      </c>
      <c r="N13" s="46">
        <v>1</v>
      </c>
    </row>
    <row r="14" spans="1:14" x14ac:dyDescent="0.2">
      <c r="A14" s="46" t="s">
        <v>48</v>
      </c>
      <c r="B14" s="46">
        <v>1924</v>
      </c>
      <c r="C14" s="46" t="s">
        <v>57</v>
      </c>
      <c r="D14" s="54">
        <v>75</v>
      </c>
      <c r="E14" s="54">
        <v>7</v>
      </c>
      <c r="F14" s="46">
        <v>82</v>
      </c>
      <c r="G14" s="46">
        <v>135</v>
      </c>
      <c r="H14" s="46" t="s">
        <v>53</v>
      </c>
      <c r="I14" s="46">
        <v>60.74074074074074</v>
      </c>
      <c r="J14" s="1" t="s">
        <v>7</v>
      </c>
      <c r="K14" s="46">
        <v>60.74074074074074</v>
      </c>
      <c r="L14" s="46">
        <v>2</v>
      </c>
      <c r="M14" s="46">
        <v>1</v>
      </c>
      <c r="N14" s="46">
        <v>2</v>
      </c>
    </row>
    <row r="15" spans="1:14" x14ac:dyDescent="0.2">
      <c r="A15" s="47" t="s">
        <v>48</v>
      </c>
      <c r="B15" s="47">
        <v>617</v>
      </c>
      <c r="C15" s="46" t="s">
        <v>56</v>
      </c>
      <c r="D15" s="54">
        <v>0</v>
      </c>
      <c r="E15" s="54">
        <v>130</v>
      </c>
      <c r="F15" s="47">
        <v>130</v>
      </c>
      <c r="G15" s="47">
        <v>210</v>
      </c>
      <c r="H15" s="46" t="s">
        <v>54</v>
      </c>
      <c r="I15" s="47">
        <v>61.904761904761905</v>
      </c>
      <c r="J15" s="1" t="s">
        <v>7</v>
      </c>
      <c r="K15" s="47">
        <v>61.904761904761905</v>
      </c>
      <c r="L15" s="46">
        <v>2</v>
      </c>
      <c r="M15" s="46">
        <v>2</v>
      </c>
      <c r="N15" s="46">
        <v>1</v>
      </c>
    </row>
    <row r="16" spans="1:14" x14ac:dyDescent="0.2">
      <c r="A16" s="47" t="s">
        <v>48</v>
      </c>
      <c r="B16" s="47">
        <v>668</v>
      </c>
      <c r="C16" s="46" t="s">
        <v>56</v>
      </c>
      <c r="D16" s="54">
        <v>110</v>
      </c>
      <c r="E16" s="54">
        <v>40</v>
      </c>
      <c r="F16" s="47">
        <v>150</v>
      </c>
      <c r="G16" s="47">
        <v>210</v>
      </c>
      <c r="H16" s="46" t="s">
        <v>54</v>
      </c>
      <c r="I16" s="47">
        <v>71.428571428571431</v>
      </c>
      <c r="J16" s="1" t="s">
        <v>7</v>
      </c>
      <c r="K16" s="47">
        <v>71.428571428571431</v>
      </c>
      <c r="L16" s="46">
        <v>2</v>
      </c>
      <c r="M16" s="46">
        <v>2</v>
      </c>
      <c r="N16" s="46">
        <v>1</v>
      </c>
    </row>
    <row r="17" spans="1:14" x14ac:dyDescent="0.2">
      <c r="A17" s="47" t="s">
        <v>48</v>
      </c>
      <c r="B17" s="47">
        <v>835</v>
      </c>
      <c r="C17" s="46" t="s">
        <v>56</v>
      </c>
      <c r="D17" s="47">
        <v>101</v>
      </c>
      <c r="E17" s="47">
        <v>47</v>
      </c>
      <c r="F17" s="47">
        <f>D17+E17</f>
        <v>148</v>
      </c>
      <c r="G17" s="47">
        <v>217</v>
      </c>
      <c r="H17" s="46" t="s">
        <v>54</v>
      </c>
      <c r="I17" s="47">
        <v>68.663594470046093</v>
      </c>
      <c r="J17" s="1" t="s">
        <v>7</v>
      </c>
      <c r="K17" s="47">
        <f t="shared" ref="K17:K25" si="0">I17</f>
        <v>68.663594470046093</v>
      </c>
      <c r="L17" s="46">
        <v>2</v>
      </c>
      <c r="M17" s="46">
        <v>2</v>
      </c>
      <c r="N17" s="46">
        <v>1</v>
      </c>
    </row>
    <row r="18" spans="1:14" x14ac:dyDescent="0.2">
      <c r="A18" s="47" t="s">
        <v>48</v>
      </c>
      <c r="B18" s="47">
        <v>1045</v>
      </c>
      <c r="C18" s="46" t="s">
        <v>56</v>
      </c>
      <c r="D18" s="47">
        <v>56</v>
      </c>
      <c r="E18" s="47">
        <v>88</v>
      </c>
      <c r="F18" s="47">
        <f t="shared" ref="F18:F25" si="1">E18+D18</f>
        <v>144</v>
      </c>
      <c r="G18" s="47">
        <v>200</v>
      </c>
      <c r="H18" s="46" t="s">
        <v>54</v>
      </c>
      <c r="I18" s="47">
        <f t="shared" ref="I18:I25" si="2">F18/G18*100</f>
        <v>72</v>
      </c>
      <c r="J18" s="1" t="s">
        <v>7</v>
      </c>
      <c r="K18" s="47">
        <f t="shared" si="0"/>
        <v>72</v>
      </c>
      <c r="L18" s="46">
        <v>2</v>
      </c>
      <c r="M18" s="46">
        <v>2</v>
      </c>
      <c r="N18" s="46">
        <v>1</v>
      </c>
    </row>
    <row r="19" spans="1:14" x14ac:dyDescent="0.2">
      <c r="A19" s="47" t="s">
        <v>48</v>
      </c>
      <c r="B19" s="47">
        <v>1425</v>
      </c>
      <c r="C19" s="46" t="s">
        <v>56</v>
      </c>
      <c r="D19" s="47">
        <v>125</v>
      </c>
      <c r="E19" s="47">
        <v>0</v>
      </c>
      <c r="F19" s="47">
        <f t="shared" si="1"/>
        <v>125</v>
      </c>
      <c r="G19" s="47">
        <v>200</v>
      </c>
      <c r="H19" s="46" t="s">
        <v>54</v>
      </c>
      <c r="I19" s="47">
        <f t="shared" si="2"/>
        <v>62.5</v>
      </c>
      <c r="J19" s="1" t="s">
        <v>7</v>
      </c>
      <c r="K19" s="47">
        <f t="shared" si="0"/>
        <v>62.5</v>
      </c>
      <c r="L19" s="46">
        <v>2</v>
      </c>
      <c r="M19" s="46">
        <v>2</v>
      </c>
      <c r="N19" s="46">
        <v>1</v>
      </c>
    </row>
    <row r="20" spans="1:14" x14ac:dyDescent="0.2">
      <c r="A20" s="47" t="s">
        <v>48</v>
      </c>
      <c r="B20" s="47">
        <v>1426</v>
      </c>
      <c r="C20" s="46" t="s">
        <v>56</v>
      </c>
      <c r="D20" s="47">
        <v>126</v>
      </c>
      <c r="E20" s="47">
        <v>0</v>
      </c>
      <c r="F20" s="47">
        <f t="shared" si="1"/>
        <v>126</v>
      </c>
      <c r="G20" s="56">
        <v>200</v>
      </c>
      <c r="H20" s="46" t="s">
        <v>54</v>
      </c>
      <c r="I20" s="47">
        <f t="shared" si="2"/>
        <v>63</v>
      </c>
      <c r="J20" s="1" t="s">
        <v>7</v>
      </c>
      <c r="K20" s="47">
        <f t="shared" si="0"/>
        <v>63</v>
      </c>
      <c r="L20" s="46">
        <v>2</v>
      </c>
      <c r="M20" s="46">
        <v>2</v>
      </c>
      <c r="N20" s="46">
        <v>1</v>
      </c>
    </row>
    <row r="21" spans="1:14" x14ac:dyDescent="0.2">
      <c r="A21" s="47" t="s">
        <v>48</v>
      </c>
      <c r="B21" s="47">
        <v>1735</v>
      </c>
      <c r="C21" s="46" t="s">
        <v>57</v>
      </c>
      <c r="D21" s="47">
        <v>155.20000000000005</v>
      </c>
      <c r="E21" s="47">
        <v>0</v>
      </c>
      <c r="F21" s="47">
        <f t="shared" si="1"/>
        <v>155.20000000000005</v>
      </c>
      <c r="G21" s="47">
        <v>230</v>
      </c>
      <c r="H21" s="46" t="s">
        <v>54</v>
      </c>
      <c r="I21" s="47">
        <f t="shared" si="2"/>
        <v>67.478260869565233</v>
      </c>
      <c r="J21" s="1" t="s">
        <v>7</v>
      </c>
      <c r="K21" s="47">
        <f t="shared" si="0"/>
        <v>67.478260869565233</v>
      </c>
      <c r="L21" s="46">
        <v>2</v>
      </c>
      <c r="M21" s="46">
        <v>2</v>
      </c>
      <c r="N21" s="46">
        <v>2</v>
      </c>
    </row>
    <row r="22" spans="1:14" x14ac:dyDescent="0.2">
      <c r="A22" s="47" t="s">
        <v>48</v>
      </c>
      <c r="B22" s="47">
        <v>1828</v>
      </c>
      <c r="C22" s="46" t="s">
        <v>57</v>
      </c>
      <c r="D22" s="47">
        <v>137</v>
      </c>
      <c r="E22" s="47">
        <v>16</v>
      </c>
      <c r="F22" s="47">
        <f t="shared" si="1"/>
        <v>153</v>
      </c>
      <c r="G22" s="47">
        <v>256</v>
      </c>
      <c r="H22" s="46" t="s">
        <v>54</v>
      </c>
      <c r="I22" s="47">
        <f t="shared" si="2"/>
        <v>59.765625</v>
      </c>
      <c r="J22" s="1" t="s">
        <v>7</v>
      </c>
      <c r="K22" s="47">
        <f t="shared" si="0"/>
        <v>59.765625</v>
      </c>
      <c r="L22" s="46">
        <v>2</v>
      </c>
      <c r="M22" s="46">
        <v>2</v>
      </c>
      <c r="N22" s="46">
        <v>2</v>
      </c>
    </row>
    <row r="23" spans="1:14" x14ac:dyDescent="0.2">
      <c r="A23" s="47" t="s">
        <v>48</v>
      </c>
      <c r="B23" s="47">
        <v>1834</v>
      </c>
      <c r="C23" s="46" t="s">
        <v>57</v>
      </c>
      <c r="D23" s="47">
        <v>139</v>
      </c>
      <c r="E23" s="47">
        <v>14</v>
      </c>
      <c r="F23" s="47">
        <f t="shared" si="1"/>
        <v>153</v>
      </c>
      <c r="G23" s="47">
        <v>256</v>
      </c>
      <c r="H23" s="46" t="s">
        <v>54</v>
      </c>
      <c r="I23" s="47">
        <f t="shared" si="2"/>
        <v>59.765625</v>
      </c>
      <c r="J23" s="1" t="s">
        <v>7</v>
      </c>
      <c r="K23" s="47">
        <f t="shared" si="0"/>
        <v>59.765625</v>
      </c>
      <c r="L23" s="46">
        <v>2</v>
      </c>
      <c r="M23" s="46">
        <v>2</v>
      </c>
      <c r="N23" s="46">
        <v>2</v>
      </c>
    </row>
    <row r="24" spans="1:14" x14ac:dyDescent="0.2">
      <c r="A24" s="47" t="s">
        <v>48</v>
      </c>
      <c r="B24" s="47">
        <v>1946</v>
      </c>
      <c r="C24" s="46" t="s">
        <v>57</v>
      </c>
      <c r="D24" s="47">
        <v>139.59999999999991</v>
      </c>
      <c r="E24" s="47">
        <v>11</v>
      </c>
      <c r="F24" s="47">
        <f t="shared" si="1"/>
        <v>150.59999999999991</v>
      </c>
      <c r="G24" s="47">
        <v>256</v>
      </c>
      <c r="H24" s="46" t="s">
        <v>54</v>
      </c>
      <c r="I24" s="47">
        <f t="shared" si="2"/>
        <v>58.828124999999964</v>
      </c>
      <c r="J24" s="1" t="s">
        <v>7</v>
      </c>
      <c r="K24" s="47">
        <f t="shared" si="0"/>
        <v>58.828124999999964</v>
      </c>
      <c r="L24" s="46">
        <v>2</v>
      </c>
      <c r="M24" s="46">
        <v>2</v>
      </c>
      <c r="N24" s="46">
        <v>2</v>
      </c>
    </row>
    <row r="25" spans="1:14" x14ac:dyDescent="0.2">
      <c r="A25" s="47" t="s">
        <v>48</v>
      </c>
      <c r="B25" s="47">
        <v>1946</v>
      </c>
      <c r="C25" s="46" t="s">
        <v>57</v>
      </c>
      <c r="D25" s="47">
        <v>136</v>
      </c>
      <c r="E25" s="47">
        <v>17</v>
      </c>
      <c r="F25" s="47">
        <f t="shared" si="1"/>
        <v>153</v>
      </c>
      <c r="G25" s="56">
        <v>256</v>
      </c>
      <c r="H25" s="46" t="s">
        <v>54</v>
      </c>
      <c r="I25" s="47">
        <f t="shared" si="2"/>
        <v>59.765625</v>
      </c>
      <c r="J25" s="1" t="s">
        <v>7</v>
      </c>
      <c r="K25" s="47">
        <f t="shared" si="0"/>
        <v>59.765625</v>
      </c>
      <c r="L25" s="46">
        <v>2</v>
      </c>
      <c r="M25" s="46">
        <v>2</v>
      </c>
      <c r="N25" s="46">
        <v>2</v>
      </c>
    </row>
    <row r="26" spans="1:14" x14ac:dyDescent="0.2">
      <c r="A26" s="46" t="s">
        <v>48</v>
      </c>
      <c r="B26" s="46">
        <v>2005</v>
      </c>
      <c r="C26" s="46" t="s">
        <v>57</v>
      </c>
      <c r="D26" s="54">
        <v>210</v>
      </c>
      <c r="E26" s="54">
        <v>0</v>
      </c>
      <c r="F26" s="46">
        <v>210</v>
      </c>
      <c r="G26" s="46">
        <v>285</v>
      </c>
      <c r="H26" s="46" t="s">
        <v>54</v>
      </c>
      <c r="I26" s="46">
        <v>73.68421052631578</v>
      </c>
      <c r="J26" s="1" t="s">
        <v>7</v>
      </c>
      <c r="K26" s="46">
        <v>73.68421052631578</v>
      </c>
      <c r="L26" s="46">
        <v>2</v>
      </c>
      <c r="M26" s="46">
        <v>2</v>
      </c>
      <c r="N26" s="46">
        <v>2</v>
      </c>
    </row>
    <row r="27" spans="1:14" x14ac:dyDescent="0.2">
      <c r="A27" s="47" t="s">
        <v>48</v>
      </c>
      <c r="B27" s="47">
        <v>1295</v>
      </c>
      <c r="C27" s="46" t="s">
        <v>56</v>
      </c>
      <c r="D27" s="47">
        <v>67</v>
      </c>
      <c r="E27" s="47">
        <v>128</v>
      </c>
      <c r="F27" s="47">
        <f>E27+D27</f>
        <v>195</v>
      </c>
      <c r="G27" s="47">
        <v>310</v>
      </c>
      <c r="H27" s="46" t="s">
        <v>55</v>
      </c>
      <c r="I27" s="47">
        <f>F27/G27*100</f>
        <v>62.903225806451616</v>
      </c>
      <c r="J27" s="1" t="s">
        <v>7</v>
      </c>
      <c r="K27" s="47">
        <f>I27</f>
        <v>62.903225806451616</v>
      </c>
      <c r="L27" s="46">
        <v>2</v>
      </c>
      <c r="M27" s="46">
        <v>3</v>
      </c>
      <c r="N27" s="46">
        <v>1</v>
      </c>
    </row>
    <row r="28" spans="1:14" x14ac:dyDescent="0.2">
      <c r="A28" s="46" t="s">
        <v>48</v>
      </c>
      <c r="B28" s="46">
        <v>338</v>
      </c>
      <c r="C28" s="46" t="s">
        <v>56</v>
      </c>
      <c r="D28" s="54">
        <v>105</v>
      </c>
      <c r="E28" s="54">
        <v>2</v>
      </c>
      <c r="F28" s="46">
        <v>107</v>
      </c>
      <c r="G28" s="46">
        <v>140</v>
      </c>
      <c r="H28" s="46" t="s">
        <v>53</v>
      </c>
      <c r="I28" s="46">
        <v>76.428571428571416</v>
      </c>
      <c r="J28" s="1" t="s">
        <v>8</v>
      </c>
      <c r="K28" s="46">
        <v>76.428571428571416</v>
      </c>
      <c r="L28" s="46">
        <v>3</v>
      </c>
      <c r="M28" s="46">
        <v>1</v>
      </c>
      <c r="N28" s="46">
        <v>1</v>
      </c>
    </row>
    <row r="29" spans="1:14" x14ac:dyDescent="0.2">
      <c r="A29" s="46" t="s">
        <v>48</v>
      </c>
      <c r="B29" s="46">
        <v>1145</v>
      </c>
      <c r="C29" s="46" t="s">
        <v>56</v>
      </c>
      <c r="D29" s="54">
        <v>75</v>
      </c>
      <c r="E29" s="54">
        <v>58</v>
      </c>
      <c r="F29" s="46">
        <v>133</v>
      </c>
      <c r="G29" s="46">
        <v>144</v>
      </c>
      <c r="H29" s="46" t="s">
        <v>53</v>
      </c>
      <c r="I29" s="46">
        <v>92.361111111111114</v>
      </c>
      <c r="J29" s="1" t="s">
        <v>8</v>
      </c>
      <c r="K29" s="46">
        <v>92.361111111111114</v>
      </c>
      <c r="L29" s="46">
        <v>3</v>
      </c>
      <c r="M29" s="46">
        <v>1</v>
      </c>
      <c r="N29" s="46">
        <v>1</v>
      </c>
    </row>
    <row r="30" spans="1:14" x14ac:dyDescent="0.2">
      <c r="A30" s="46" t="s">
        <v>48</v>
      </c>
      <c r="B30" s="46">
        <v>1763</v>
      </c>
      <c r="C30" s="46" t="s">
        <v>57</v>
      </c>
      <c r="D30" s="54">
        <v>202</v>
      </c>
      <c r="E30" s="54">
        <v>0</v>
      </c>
      <c r="F30" s="46">
        <v>202</v>
      </c>
      <c r="G30" s="46">
        <v>238</v>
      </c>
      <c r="H30" s="46" t="s">
        <v>54</v>
      </c>
      <c r="I30" s="46">
        <v>84.87394957983193</v>
      </c>
      <c r="J30" s="1" t="s">
        <v>8</v>
      </c>
      <c r="K30" s="46">
        <v>84.87394957983193</v>
      </c>
      <c r="L30" s="46">
        <v>3</v>
      </c>
      <c r="M30" s="46">
        <v>2</v>
      </c>
      <c r="N30" s="46">
        <v>2</v>
      </c>
    </row>
    <row r="31" spans="1:14" x14ac:dyDescent="0.2">
      <c r="A31" s="46" t="s">
        <v>48</v>
      </c>
      <c r="B31" s="46">
        <v>2819</v>
      </c>
      <c r="C31" s="46" t="s">
        <v>57</v>
      </c>
      <c r="D31" s="54">
        <v>220</v>
      </c>
      <c r="E31" s="54">
        <v>0</v>
      </c>
      <c r="F31" s="46">
        <v>220</v>
      </c>
      <c r="G31" s="46">
        <v>230</v>
      </c>
      <c r="H31" s="46" t="s">
        <v>54</v>
      </c>
      <c r="I31" s="46">
        <v>95.652173913043484</v>
      </c>
      <c r="J31" s="1" t="s">
        <v>8</v>
      </c>
      <c r="K31" s="46">
        <v>95.652173913043484</v>
      </c>
      <c r="L31" s="46">
        <v>3</v>
      </c>
      <c r="M31" s="46">
        <v>2</v>
      </c>
      <c r="N31" s="46">
        <v>2</v>
      </c>
    </row>
    <row r="32" spans="1:14" x14ac:dyDescent="0.2">
      <c r="A32" s="47" t="s">
        <v>48</v>
      </c>
      <c r="B32" s="47">
        <v>534</v>
      </c>
      <c r="C32" s="46" t="s">
        <v>56</v>
      </c>
      <c r="D32" s="54">
        <v>42</v>
      </c>
      <c r="E32" s="54">
        <v>88</v>
      </c>
      <c r="F32" s="47">
        <v>130</v>
      </c>
      <c r="G32" s="47">
        <v>100</v>
      </c>
      <c r="H32" s="46" t="s">
        <v>53</v>
      </c>
      <c r="I32" s="47">
        <v>130</v>
      </c>
      <c r="J32" s="2">
        <v>1</v>
      </c>
      <c r="K32" s="47">
        <v>100</v>
      </c>
      <c r="L32" s="46">
        <v>4</v>
      </c>
      <c r="M32" s="46">
        <v>1</v>
      </c>
      <c r="N32" s="46">
        <v>1</v>
      </c>
    </row>
    <row r="33" spans="1:14" x14ac:dyDescent="0.2">
      <c r="A33" s="46" t="s">
        <v>48</v>
      </c>
      <c r="B33" s="46">
        <v>1130</v>
      </c>
      <c r="C33" s="46" t="s">
        <v>56</v>
      </c>
      <c r="D33" s="54">
        <v>62</v>
      </c>
      <c r="E33" s="54">
        <v>0</v>
      </c>
      <c r="F33" s="46">
        <v>62</v>
      </c>
      <c r="G33" s="46">
        <v>62</v>
      </c>
      <c r="H33" s="46" t="s">
        <v>53</v>
      </c>
      <c r="I33" s="46">
        <v>100</v>
      </c>
      <c r="J33" s="2">
        <v>1</v>
      </c>
      <c r="K33" s="46">
        <v>100</v>
      </c>
      <c r="L33" s="46">
        <v>4</v>
      </c>
      <c r="M33" s="46">
        <v>1</v>
      </c>
      <c r="N33" s="46">
        <v>1</v>
      </c>
    </row>
    <row r="34" spans="1:14" x14ac:dyDescent="0.2">
      <c r="A34" s="46" t="s">
        <v>48</v>
      </c>
      <c r="B34" s="46">
        <v>1451</v>
      </c>
      <c r="C34" s="46" t="s">
        <v>56</v>
      </c>
      <c r="D34" s="54">
        <v>0</v>
      </c>
      <c r="E34" s="54">
        <v>140</v>
      </c>
      <c r="F34" s="46">
        <v>140</v>
      </c>
      <c r="G34" s="46">
        <v>125</v>
      </c>
      <c r="H34" s="46" t="s">
        <v>53</v>
      </c>
      <c r="I34" s="46">
        <v>112.00000000000001</v>
      </c>
      <c r="J34" s="2">
        <v>1</v>
      </c>
      <c r="K34" s="46">
        <v>100</v>
      </c>
      <c r="L34" s="46">
        <v>4</v>
      </c>
      <c r="M34" s="46">
        <v>1</v>
      </c>
      <c r="N34" s="46">
        <v>1</v>
      </c>
    </row>
    <row r="35" spans="1:14" x14ac:dyDescent="0.2">
      <c r="A35" s="47" t="s">
        <v>48</v>
      </c>
      <c r="B35" s="47">
        <v>752</v>
      </c>
      <c r="C35" s="46" t="s">
        <v>56</v>
      </c>
      <c r="D35" s="47">
        <v>0</v>
      </c>
      <c r="E35" s="47">
        <v>168</v>
      </c>
      <c r="F35" s="47">
        <v>168</v>
      </c>
      <c r="G35" s="47">
        <v>168</v>
      </c>
      <c r="H35" s="46" t="s">
        <v>54</v>
      </c>
      <c r="I35" s="47">
        <v>100</v>
      </c>
      <c r="J35" s="2">
        <v>1</v>
      </c>
      <c r="K35" s="47">
        <f>I35</f>
        <v>100</v>
      </c>
      <c r="L35" s="46">
        <v>4</v>
      </c>
      <c r="M35" s="46">
        <v>2</v>
      </c>
      <c r="N35" s="46">
        <v>1</v>
      </c>
    </row>
    <row r="36" spans="1:14" x14ac:dyDescent="0.2">
      <c r="A36" s="47" t="s">
        <v>48</v>
      </c>
      <c r="B36" s="47">
        <v>816</v>
      </c>
      <c r="C36" s="46" t="s">
        <v>56</v>
      </c>
      <c r="D36" s="47">
        <v>96</v>
      </c>
      <c r="E36" s="47">
        <v>83</v>
      </c>
      <c r="F36" s="47">
        <f>D36+E36</f>
        <v>179</v>
      </c>
      <c r="G36" s="47">
        <v>154</v>
      </c>
      <c r="H36" s="46" t="s">
        <v>54</v>
      </c>
      <c r="I36" s="47">
        <f>F36/G36*100</f>
        <v>116.23376623376625</v>
      </c>
      <c r="J36" s="2">
        <v>1</v>
      </c>
      <c r="K36" s="47">
        <v>100</v>
      </c>
      <c r="L36" s="46">
        <v>4</v>
      </c>
      <c r="M36" s="46">
        <v>2</v>
      </c>
      <c r="N36" s="46">
        <v>1</v>
      </c>
    </row>
    <row r="37" spans="1:14" x14ac:dyDescent="0.2">
      <c r="A37" s="47" t="s">
        <v>48</v>
      </c>
      <c r="B37" s="47">
        <v>1548</v>
      </c>
      <c r="C37" s="46" t="s">
        <v>57</v>
      </c>
      <c r="D37" s="47">
        <v>242</v>
      </c>
      <c r="E37" s="47">
        <v>0</v>
      </c>
      <c r="F37" s="47">
        <v>242</v>
      </c>
      <c r="G37" s="47">
        <v>242</v>
      </c>
      <c r="H37" s="46" t="s">
        <v>54</v>
      </c>
      <c r="I37" s="47">
        <v>100</v>
      </c>
      <c r="J37" s="2">
        <v>1</v>
      </c>
      <c r="K37" s="47">
        <v>100</v>
      </c>
      <c r="L37" s="46">
        <v>4</v>
      </c>
      <c r="M37" s="46">
        <v>2</v>
      </c>
      <c r="N37" s="46">
        <v>2</v>
      </c>
    </row>
    <row r="38" spans="1:14" x14ac:dyDescent="0.2">
      <c r="A38" s="46" t="s">
        <v>48</v>
      </c>
      <c r="B38" s="46">
        <v>2097</v>
      </c>
      <c r="C38" s="46" t="s">
        <v>57</v>
      </c>
      <c r="D38" s="54">
        <v>285</v>
      </c>
      <c r="E38" s="54">
        <v>0</v>
      </c>
      <c r="F38" s="46">
        <v>285</v>
      </c>
      <c r="G38" s="46">
        <v>200</v>
      </c>
      <c r="H38" s="46" t="s">
        <v>54</v>
      </c>
      <c r="I38" s="46">
        <v>142.5</v>
      </c>
      <c r="J38" s="2">
        <v>1</v>
      </c>
      <c r="K38" s="46">
        <v>100</v>
      </c>
      <c r="L38" s="46">
        <v>4</v>
      </c>
      <c r="M38" s="46">
        <v>2</v>
      </c>
      <c r="N38" s="46">
        <v>2</v>
      </c>
    </row>
    <row r="39" spans="1:14" x14ac:dyDescent="0.2">
      <c r="A39" s="46" t="s">
        <v>48</v>
      </c>
      <c r="B39" s="46">
        <v>2456</v>
      </c>
      <c r="C39" s="46" t="s">
        <v>57</v>
      </c>
      <c r="D39" s="54">
        <v>296</v>
      </c>
      <c r="E39" s="54">
        <v>0</v>
      </c>
      <c r="F39" s="46">
        <v>296</v>
      </c>
      <c r="G39" s="46">
        <v>296</v>
      </c>
      <c r="H39" s="46" t="s">
        <v>54</v>
      </c>
      <c r="I39" s="46">
        <v>100</v>
      </c>
      <c r="J39" s="2">
        <v>1</v>
      </c>
      <c r="K39" s="46">
        <v>100</v>
      </c>
      <c r="L39" s="46">
        <v>4</v>
      </c>
      <c r="M39" s="46">
        <v>2</v>
      </c>
      <c r="N39" s="46">
        <v>2</v>
      </c>
    </row>
  </sheetData>
  <sortState xmlns:xlrd2="http://schemas.microsoft.com/office/spreadsheetml/2017/richdata2" ref="A2:M39">
    <sortCondition ref="K2:K39"/>
    <sortCondition ref="L2:L39"/>
    <sortCondition ref="M2:M3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9"/>
  <sheetViews>
    <sheetView workbookViewId="0">
      <selection activeCell="A39" sqref="A39:XFD39"/>
    </sheetView>
  </sheetViews>
  <sheetFormatPr defaultRowHeight="14.25" x14ac:dyDescent="0.2"/>
  <cols>
    <col min="2" max="2" width="10.375" bestFit="1" customWidth="1"/>
    <col min="6" max="6" width="21.25" style="52" bestFit="1" customWidth="1"/>
    <col min="7" max="7" width="13.5" style="52" customWidth="1"/>
    <col min="8" max="8" width="8.75" style="36"/>
  </cols>
  <sheetData>
    <row r="1" spans="1:19" x14ac:dyDescent="0.2">
      <c r="A1" s="3" t="s">
        <v>9</v>
      </c>
      <c r="B1" s="3" t="s">
        <v>10</v>
      </c>
      <c r="C1" s="3" t="s">
        <v>11</v>
      </c>
      <c r="D1" s="3" t="s">
        <v>12</v>
      </c>
      <c r="E1" s="4" t="s">
        <v>13</v>
      </c>
      <c r="F1" s="51" t="s">
        <v>14</v>
      </c>
      <c r="G1" s="51" t="s">
        <v>15</v>
      </c>
      <c r="H1" s="50" t="s">
        <v>16</v>
      </c>
      <c r="I1" s="5"/>
      <c r="J1" s="6"/>
      <c r="K1" s="6"/>
      <c r="L1" s="7"/>
      <c r="M1" s="7"/>
      <c r="N1" s="7"/>
      <c r="O1" s="7"/>
      <c r="P1" s="5"/>
      <c r="Q1" s="5"/>
      <c r="R1" s="5"/>
      <c r="S1" s="5"/>
    </row>
    <row r="2" spans="1:19" x14ac:dyDescent="0.2">
      <c r="A2" s="8" t="s">
        <v>17</v>
      </c>
      <c r="B2" s="9">
        <f>10/38</f>
        <v>0.26315789473684209</v>
      </c>
      <c r="C2" s="8" t="s">
        <v>18</v>
      </c>
      <c r="D2" s="10">
        <f>4/10</f>
        <v>0.4</v>
      </c>
      <c r="E2" s="11" t="s">
        <v>19</v>
      </c>
      <c r="F2" s="24">
        <f>2/4</f>
        <v>0.5</v>
      </c>
      <c r="G2" s="24">
        <f t="shared" ref="G2:G37" si="0">SUM(B2*D2*F2)</f>
        <v>5.2631578947368418E-2</v>
      </c>
      <c r="H2" s="12">
        <f t="shared" ref="H2:H9" si="1">G2/(G2+G11+G20+G29)</f>
        <v>0.22222222222222221</v>
      </c>
      <c r="I2" s="14"/>
      <c r="J2" s="15" t="s">
        <v>20</v>
      </c>
      <c r="K2" s="15" t="s">
        <v>0</v>
      </c>
      <c r="L2" s="16" t="s">
        <v>6</v>
      </c>
      <c r="M2" s="16" t="s">
        <v>21</v>
      </c>
      <c r="N2" s="16" t="s">
        <v>22</v>
      </c>
      <c r="O2" s="17">
        <v>1</v>
      </c>
      <c r="P2" s="14"/>
      <c r="Q2" s="14"/>
      <c r="R2" s="14"/>
      <c r="S2" s="14"/>
    </row>
    <row r="3" spans="1:19" x14ac:dyDescent="0.2">
      <c r="A3" s="8" t="s">
        <v>17</v>
      </c>
      <c r="B3" s="9">
        <f>10/38</f>
        <v>0.26315789473684209</v>
      </c>
      <c r="C3" s="8" t="s">
        <v>18</v>
      </c>
      <c r="D3" s="10">
        <f>4/10</f>
        <v>0.4</v>
      </c>
      <c r="E3" s="11" t="s">
        <v>23</v>
      </c>
      <c r="F3" s="24">
        <f>2/4</f>
        <v>0.5</v>
      </c>
      <c r="G3" s="24">
        <f t="shared" si="0"/>
        <v>5.2631578947368418E-2</v>
      </c>
      <c r="H3" s="12">
        <f t="shared" si="1"/>
        <v>0.66666666666666663</v>
      </c>
      <c r="I3" s="14"/>
      <c r="J3" s="18" t="s">
        <v>18</v>
      </c>
      <c r="K3" s="19" t="s">
        <v>19</v>
      </c>
      <c r="L3" s="20">
        <f t="shared" ref="L3:L11" si="2">H2</f>
        <v>0.22222222222222221</v>
      </c>
      <c r="M3" s="20">
        <f>H11</f>
        <v>0.22222222222222221</v>
      </c>
      <c r="N3" s="20">
        <f>H20</f>
        <v>0.22222222222222221</v>
      </c>
      <c r="O3" s="20">
        <f>H29</f>
        <v>0.33333333333333331</v>
      </c>
      <c r="P3" s="14"/>
      <c r="Q3" s="14"/>
      <c r="R3" s="14"/>
      <c r="S3" s="14"/>
    </row>
    <row r="4" spans="1:19" x14ac:dyDescent="0.2">
      <c r="A4" s="8" t="s">
        <v>17</v>
      </c>
      <c r="B4" s="9">
        <f t="shared" ref="B4:B10" si="3">10/38</f>
        <v>0.26315789473684209</v>
      </c>
      <c r="C4" s="8" t="s">
        <v>18</v>
      </c>
      <c r="D4" s="10">
        <f>4/10</f>
        <v>0.4</v>
      </c>
      <c r="E4" s="11" t="s">
        <v>24</v>
      </c>
      <c r="F4" s="24">
        <v>0</v>
      </c>
      <c r="G4" s="24">
        <f t="shared" si="0"/>
        <v>0</v>
      </c>
      <c r="H4" s="12">
        <v>0</v>
      </c>
      <c r="I4" s="14"/>
      <c r="J4" s="18" t="s">
        <v>18</v>
      </c>
      <c r="K4" s="19" t="s">
        <v>25</v>
      </c>
      <c r="L4" s="20">
        <f t="shared" si="2"/>
        <v>0.66666666666666663</v>
      </c>
      <c r="M4" s="20">
        <f>H12</f>
        <v>0.33333333333333331</v>
      </c>
      <c r="N4" s="20">
        <f>H21</f>
        <v>0</v>
      </c>
      <c r="O4" s="20">
        <f t="shared" ref="O4:O11" si="4">H30</f>
        <v>0</v>
      </c>
      <c r="P4" s="14"/>
      <c r="Q4" s="14"/>
      <c r="R4" s="14"/>
      <c r="S4" s="14"/>
    </row>
    <row r="5" spans="1:19" x14ac:dyDescent="0.2">
      <c r="A5" s="8" t="s">
        <v>17</v>
      </c>
      <c r="B5" s="9">
        <f t="shared" si="3"/>
        <v>0.26315789473684209</v>
      </c>
      <c r="C5" s="8" t="s">
        <v>26</v>
      </c>
      <c r="D5" s="10">
        <f>5/10</f>
        <v>0.5</v>
      </c>
      <c r="E5" s="11" t="s">
        <v>19</v>
      </c>
      <c r="F5" s="24">
        <f>4/5</f>
        <v>0.8</v>
      </c>
      <c r="G5" s="24">
        <f t="shared" si="0"/>
        <v>0.10526315789473684</v>
      </c>
      <c r="H5" s="12">
        <f t="shared" si="1"/>
        <v>0.33333333333333331</v>
      </c>
      <c r="I5" s="14"/>
      <c r="J5" s="18" t="s">
        <v>18</v>
      </c>
      <c r="K5" s="19" t="s">
        <v>27</v>
      </c>
      <c r="L5" s="20">
        <f t="shared" si="2"/>
        <v>0</v>
      </c>
      <c r="M5" s="20">
        <f t="shared" ref="M5:M11" si="5">H13</f>
        <v>0</v>
      </c>
      <c r="N5" s="20">
        <f t="shared" ref="N5:N11" si="6">H22</f>
        <v>0</v>
      </c>
      <c r="O5" s="20">
        <f t="shared" si="4"/>
        <v>0</v>
      </c>
      <c r="P5" s="14"/>
      <c r="Q5" s="14"/>
      <c r="R5" s="14"/>
      <c r="S5" s="14"/>
    </row>
    <row r="6" spans="1:19" x14ac:dyDescent="0.2">
      <c r="A6" s="8" t="s">
        <v>17</v>
      </c>
      <c r="B6" s="9">
        <f t="shared" si="3"/>
        <v>0.26315789473684209</v>
      </c>
      <c r="C6" s="8" t="s">
        <v>26</v>
      </c>
      <c r="D6" s="10">
        <f>5/10</f>
        <v>0.5</v>
      </c>
      <c r="E6" s="11" t="s">
        <v>23</v>
      </c>
      <c r="F6" s="24">
        <f>1/5</f>
        <v>0.2</v>
      </c>
      <c r="G6" s="24">
        <f t="shared" si="0"/>
        <v>2.6315789473684209E-2</v>
      </c>
      <c r="H6" s="12">
        <f t="shared" si="1"/>
        <v>8.3333333333333329E-2</v>
      </c>
      <c r="I6" s="14"/>
      <c r="J6" s="21" t="s">
        <v>46</v>
      </c>
      <c r="K6" s="22" t="s">
        <v>19</v>
      </c>
      <c r="L6" s="23">
        <f t="shared" si="2"/>
        <v>0.33333333333333331</v>
      </c>
      <c r="M6" s="23">
        <f t="shared" si="5"/>
        <v>0.5</v>
      </c>
      <c r="N6" s="23">
        <f t="shared" si="6"/>
        <v>0</v>
      </c>
      <c r="O6" s="23">
        <f t="shared" si="4"/>
        <v>0.16666666666666666</v>
      </c>
      <c r="P6" s="14"/>
      <c r="Q6" s="14"/>
      <c r="R6" s="14"/>
      <c r="S6" s="14"/>
    </row>
    <row r="7" spans="1:19" x14ac:dyDescent="0.2">
      <c r="A7" s="8" t="s">
        <v>17</v>
      </c>
      <c r="B7" s="9">
        <f t="shared" si="3"/>
        <v>0.26315789473684209</v>
      </c>
      <c r="C7" s="8" t="s">
        <v>26</v>
      </c>
      <c r="D7" s="10">
        <f>5/10</f>
        <v>0.5</v>
      </c>
      <c r="E7" s="11" t="s">
        <v>24</v>
      </c>
      <c r="F7" s="24">
        <v>0</v>
      </c>
      <c r="G7" s="24">
        <f t="shared" si="0"/>
        <v>0</v>
      </c>
      <c r="H7" s="12">
        <v>0</v>
      </c>
      <c r="I7" s="14"/>
      <c r="J7" s="21" t="s">
        <v>46</v>
      </c>
      <c r="K7" s="19" t="s">
        <v>25</v>
      </c>
      <c r="L7" s="20">
        <f t="shared" si="2"/>
        <v>8.3333333333333329E-2</v>
      </c>
      <c r="M7" s="20">
        <f t="shared" si="5"/>
        <v>0.5</v>
      </c>
      <c r="N7" s="20">
        <f t="shared" si="6"/>
        <v>0.16666666666666666</v>
      </c>
      <c r="O7" s="20">
        <f t="shared" si="4"/>
        <v>0.25</v>
      </c>
      <c r="P7" s="14"/>
      <c r="Q7" s="14"/>
      <c r="R7" s="14"/>
      <c r="S7" s="14"/>
    </row>
    <row r="8" spans="1:19" x14ac:dyDescent="0.2">
      <c r="A8" s="8" t="s">
        <v>17</v>
      </c>
      <c r="B8" s="9">
        <f t="shared" si="3"/>
        <v>0.26315789473684209</v>
      </c>
      <c r="C8" s="8" t="s">
        <v>28</v>
      </c>
      <c r="D8" s="10">
        <f>1/10</f>
        <v>0.1</v>
      </c>
      <c r="E8" s="11" t="s">
        <v>19</v>
      </c>
      <c r="F8" s="24">
        <v>0</v>
      </c>
      <c r="G8" s="24">
        <f t="shared" si="0"/>
        <v>0</v>
      </c>
      <c r="H8" s="12">
        <f t="shared" si="1"/>
        <v>0</v>
      </c>
      <c r="I8" s="14"/>
      <c r="J8" s="21" t="s">
        <v>46</v>
      </c>
      <c r="K8" s="19" t="s">
        <v>27</v>
      </c>
      <c r="L8" s="20">
        <f t="shared" si="2"/>
        <v>0</v>
      </c>
      <c r="M8" s="23">
        <f>H16</f>
        <v>0</v>
      </c>
      <c r="N8" s="20">
        <f t="shared" si="6"/>
        <v>0</v>
      </c>
      <c r="O8" s="20">
        <f t="shared" si="4"/>
        <v>0</v>
      </c>
      <c r="P8" s="14"/>
      <c r="Q8" s="14"/>
      <c r="R8" s="14"/>
      <c r="S8" s="14"/>
    </row>
    <row r="9" spans="1:19" x14ac:dyDescent="0.2">
      <c r="A9" s="8" t="s">
        <v>17</v>
      </c>
      <c r="B9" s="9">
        <f t="shared" si="3"/>
        <v>0.26315789473684209</v>
      </c>
      <c r="C9" s="8" t="s">
        <v>28</v>
      </c>
      <c r="D9" s="10">
        <f>1/10</f>
        <v>0.1</v>
      </c>
      <c r="E9" s="11" t="s">
        <v>23</v>
      </c>
      <c r="F9" s="24">
        <f>1/1</f>
        <v>1</v>
      </c>
      <c r="G9" s="24">
        <f t="shared" si="0"/>
        <v>2.6315789473684209E-2</v>
      </c>
      <c r="H9" s="12">
        <f t="shared" si="1"/>
        <v>1</v>
      </c>
      <c r="I9" s="14"/>
      <c r="J9" s="18" t="s">
        <v>28</v>
      </c>
      <c r="K9" s="19" t="s">
        <v>19</v>
      </c>
      <c r="L9" s="20">
        <f t="shared" si="2"/>
        <v>0</v>
      </c>
      <c r="M9" s="20">
        <f t="shared" si="5"/>
        <v>1</v>
      </c>
      <c r="N9" s="20">
        <f t="shared" si="6"/>
        <v>0</v>
      </c>
      <c r="O9" s="20">
        <f t="shared" si="4"/>
        <v>0</v>
      </c>
      <c r="P9" s="14"/>
      <c r="Q9" s="14"/>
      <c r="R9" s="14"/>
      <c r="S9" s="14"/>
    </row>
    <row r="10" spans="1:19" x14ac:dyDescent="0.2">
      <c r="A10" s="8" t="s">
        <v>17</v>
      </c>
      <c r="B10" s="9">
        <f t="shared" si="3"/>
        <v>0.26315789473684209</v>
      </c>
      <c r="C10" s="8" t="s">
        <v>28</v>
      </c>
      <c r="D10" s="10">
        <f>1/10</f>
        <v>0.1</v>
      </c>
      <c r="E10" s="11" t="s">
        <v>24</v>
      </c>
      <c r="F10" s="24">
        <v>0</v>
      </c>
      <c r="G10" s="24">
        <f t="shared" si="0"/>
        <v>0</v>
      </c>
      <c r="H10" s="12">
        <v>0</v>
      </c>
      <c r="I10" s="14"/>
      <c r="J10" s="18" t="s">
        <v>28</v>
      </c>
      <c r="K10" s="19" t="s">
        <v>25</v>
      </c>
      <c r="L10" s="20">
        <f t="shared" si="2"/>
        <v>1</v>
      </c>
      <c r="M10" s="20">
        <f t="shared" si="5"/>
        <v>0</v>
      </c>
      <c r="N10" s="20">
        <f t="shared" si="6"/>
        <v>0</v>
      </c>
      <c r="O10" s="20">
        <f t="shared" si="4"/>
        <v>0</v>
      </c>
      <c r="P10" s="14"/>
      <c r="Q10" s="14"/>
      <c r="R10" s="14"/>
      <c r="S10" s="14"/>
    </row>
    <row r="11" spans="1:19" x14ac:dyDescent="0.2">
      <c r="A11" s="8" t="s">
        <v>29</v>
      </c>
      <c r="B11" s="9">
        <f>16/38</f>
        <v>0.42105263157894735</v>
      </c>
      <c r="C11" s="8" t="s">
        <v>18</v>
      </c>
      <c r="D11" s="10">
        <f>3/16</f>
        <v>0.1875</v>
      </c>
      <c r="E11" s="11" t="s">
        <v>19</v>
      </c>
      <c r="F11" s="24">
        <f>2/3</f>
        <v>0.66666666666666663</v>
      </c>
      <c r="G11" s="24">
        <f t="shared" si="0"/>
        <v>5.2631578947368418E-2</v>
      </c>
      <c r="H11" s="12">
        <f>G11/(G11+G2+G20+G29)</f>
        <v>0.22222222222222221</v>
      </c>
      <c r="I11" s="14"/>
      <c r="J11" s="18" t="s">
        <v>28</v>
      </c>
      <c r="K11" s="19" t="s">
        <v>27</v>
      </c>
      <c r="L11" s="20">
        <f t="shared" si="2"/>
        <v>0</v>
      </c>
      <c r="M11" s="20">
        <f t="shared" si="5"/>
        <v>0</v>
      </c>
      <c r="N11" s="20">
        <f t="shared" si="6"/>
        <v>0</v>
      </c>
      <c r="O11" s="20">
        <f t="shared" si="4"/>
        <v>0</v>
      </c>
      <c r="P11" s="14"/>
      <c r="Q11" s="14"/>
      <c r="R11" s="14"/>
      <c r="S11" s="14"/>
    </row>
    <row r="12" spans="1:19" x14ac:dyDescent="0.2">
      <c r="A12" s="8" t="s">
        <v>29</v>
      </c>
      <c r="B12" s="9">
        <f>16/38</f>
        <v>0.42105263157894735</v>
      </c>
      <c r="C12" s="8" t="s">
        <v>18</v>
      </c>
      <c r="D12" s="10">
        <f>3/16</f>
        <v>0.1875</v>
      </c>
      <c r="E12" s="11" t="s">
        <v>23</v>
      </c>
      <c r="F12" s="24">
        <f>1/3</f>
        <v>0.33333333333333331</v>
      </c>
      <c r="G12" s="24">
        <f t="shared" si="0"/>
        <v>2.6315789473684209E-2</v>
      </c>
      <c r="H12" s="12">
        <f>G12/(G12+G3+G21+G30)</f>
        <v>0.33333333333333331</v>
      </c>
      <c r="I12" s="14"/>
      <c r="J12" s="13"/>
      <c r="K12" s="11"/>
      <c r="L12" s="24"/>
      <c r="M12" s="24"/>
      <c r="N12" s="24"/>
      <c r="O12" s="24"/>
      <c r="P12" s="14"/>
      <c r="Q12" s="14"/>
      <c r="R12" s="14"/>
      <c r="S12" s="14"/>
    </row>
    <row r="13" spans="1:19" x14ac:dyDescent="0.2">
      <c r="A13" s="8" t="s">
        <v>29</v>
      </c>
      <c r="B13" s="9">
        <f t="shared" ref="B13:B19" si="7">16/38</f>
        <v>0.42105263157894735</v>
      </c>
      <c r="C13" s="8" t="s">
        <v>18</v>
      </c>
      <c r="D13" s="10">
        <f>3/16</f>
        <v>0.1875</v>
      </c>
      <c r="E13" s="11" t="s">
        <v>24</v>
      </c>
      <c r="F13" s="24">
        <v>0</v>
      </c>
      <c r="G13" s="24">
        <f t="shared" si="0"/>
        <v>0</v>
      </c>
      <c r="H13" s="12">
        <v>0</v>
      </c>
      <c r="I13" s="14"/>
      <c r="J13" s="3"/>
      <c r="K13" s="41"/>
      <c r="L13" s="42"/>
      <c r="M13" s="41"/>
      <c r="N13" s="42"/>
      <c r="O13" s="41"/>
      <c r="P13" s="42"/>
      <c r="Q13" s="41"/>
      <c r="R13" s="42"/>
      <c r="S13" s="41"/>
    </row>
    <row r="14" spans="1:19" x14ac:dyDescent="0.2">
      <c r="A14" s="8" t="s">
        <v>29</v>
      </c>
      <c r="B14" s="9">
        <f t="shared" si="7"/>
        <v>0.42105263157894735</v>
      </c>
      <c r="C14" s="8" t="s">
        <v>26</v>
      </c>
      <c r="D14" s="10">
        <f>12/16</f>
        <v>0.75</v>
      </c>
      <c r="E14" s="11" t="s">
        <v>19</v>
      </c>
      <c r="F14" s="24">
        <f>6/12</f>
        <v>0.5</v>
      </c>
      <c r="G14" s="24">
        <f t="shared" si="0"/>
        <v>0.15789473684210525</v>
      </c>
      <c r="H14" s="12">
        <f>G14/(G14+G5+G23+G32)</f>
        <v>0.5</v>
      </c>
      <c r="I14" s="14"/>
      <c r="J14" s="13"/>
      <c r="K14" s="12"/>
      <c r="L14" s="12"/>
      <c r="M14" s="12"/>
      <c r="N14" s="24"/>
      <c r="O14" s="24"/>
      <c r="P14" s="12"/>
      <c r="Q14" s="24"/>
      <c r="R14" s="24"/>
      <c r="S14" s="12"/>
    </row>
    <row r="15" spans="1:19" x14ac:dyDescent="0.2">
      <c r="A15" s="8" t="s">
        <v>29</v>
      </c>
      <c r="B15" s="9">
        <f t="shared" si="7"/>
        <v>0.42105263157894735</v>
      </c>
      <c r="C15" s="8" t="s">
        <v>26</v>
      </c>
      <c r="D15" s="10">
        <f>12/16</f>
        <v>0.75</v>
      </c>
      <c r="E15" s="11" t="s">
        <v>23</v>
      </c>
      <c r="F15" s="24">
        <f>6/12</f>
        <v>0.5</v>
      </c>
      <c r="G15" s="24">
        <f t="shared" si="0"/>
        <v>0.15789473684210525</v>
      </c>
      <c r="H15" s="12">
        <f>G15/(G6+G15+G24+G33)</f>
        <v>0.5</v>
      </c>
      <c r="I15" s="14"/>
      <c r="J15" s="13"/>
      <c r="K15" s="12"/>
      <c r="L15" s="12"/>
      <c r="M15" s="12"/>
      <c r="N15" s="24"/>
      <c r="O15" s="24"/>
      <c r="P15" s="12"/>
      <c r="Q15" s="24"/>
      <c r="R15" s="24"/>
      <c r="S15" s="12"/>
    </row>
    <row r="16" spans="1:19" x14ac:dyDescent="0.2">
      <c r="A16" s="8" t="s">
        <v>29</v>
      </c>
      <c r="B16" s="9">
        <f t="shared" si="7"/>
        <v>0.42105263157894735</v>
      </c>
      <c r="C16" s="8" t="s">
        <v>26</v>
      </c>
      <c r="D16" s="10">
        <f>12/16</f>
        <v>0.75</v>
      </c>
      <c r="E16" s="11" t="s">
        <v>24</v>
      </c>
      <c r="F16" s="24">
        <v>0</v>
      </c>
      <c r="G16" s="24">
        <f t="shared" si="0"/>
        <v>0</v>
      </c>
      <c r="H16" s="12">
        <v>0</v>
      </c>
      <c r="I16" s="14"/>
      <c r="J16" s="13"/>
      <c r="K16" s="12"/>
      <c r="L16" s="12"/>
      <c r="M16" s="12"/>
      <c r="N16" s="24"/>
      <c r="O16" s="24"/>
      <c r="P16" s="12"/>
      <c r="Q16" s="24"/>
      <c r="R16" s="24"/>
      <c r="S16" s="12"/>
    </row>
    <row r="17" spans="1:19" x14ac:dyDescent="0.2">
      <c r="A17" s="8" t="s">
        <v>29</v>
      </c>
      <c r="B17" s="9">
        <f t="shared" si="7"/>
        <v>0.42105263157894735</v>
      </c>
      <c r="C17" s="8" t="s">
        <v>28</v>
      </c>
      <c r="D17" s="10">
        <f>1/16</f>
        <v>6.25E-2</v>
      </c>
      <c r="E17" s="11" t="s">
        <v>19</v>
      </c>
      <c r="F17" s="24">
        <f>1/1</f>
        <v>1</v>
      </c>
      <c r="G17" s="24">
        <f t="shared" si="0"/>
        <v>2.6315789473684209E-2</v>
      </c>
      <c r="H17" s="12">
        <f>G17/(G8+G17+G26+G35)</f>
        <v>1</v>
      </c>
      <c r="I17" s="14"/>
      <c r="J17" s="43"/>
      <c r="K17" s="12"/>
      <c r="L17" s="12"/>
      <c r="M17" s="12"/>
      <c r="N17" s="24"/>
      <c r="O17" s="24"/>
      <c r="P17" s="12"/>
      <c r="Q17" s="24"/>
      <c r="R17" s="24"/>
      <c r="S17" s="12"/>
    </row>
    <row r="18" spans="1:19" x14ac:dyDescent="0.2">
      <c r="A18" s="8" t="s">
        <v>29</v>
      </c>
      <c r="B18" s="9">
        <f t="shared" si="7"/>
        <v>0.42105263157894735</v>
      </c>
      <c r="C18" s="8" t="s">
        <v>28</v>
      </c>
      <c r="D18" s="10">
        <f>1/16</f>
        <v>6.25E-2</v>
      </c>
      <c r="E18" s="11" t="s">
        <v>23</v>
      </c>
      <c r="F18" s="24">
        <v>0</v>
      </c>
      <c r="G18" s="24">
        <f t="shared" si="0"/>
        <v>0</v>
      </c>
      <c r="H18" s="12">
        <f>G18/(G18+G9+G27+G36)</f>
        <v>0</v>
      </c>
      <c r="I18" s="14"/>
      <c r="J18" s="13"/>
      <c r="K18" s="24"/>
      <c r="L18" s="13"/>
      <c r="M18" s="13"/>
      <c r="N18" s="13"/>
      <c r="O18" s="13"/>
      <c r="P18" s="13"/>
      <c r="Q18" s="13"/>
      <c r="R18" s="13"/>
      <c r="S18" s="13"/>
    </row>
    <row r="19" spans="1:19" x14ac:dyDescent="0.2">
      <c r="A19" s="8" t="s">
        <v>29</v>
      </c>
      <c r="B19" s="9">
        <f t="shared" si="7"/>
        <v>0.42105263157894735</v>
      </c>
      <c r="C19" s="8" t="s">
        <v>28</v>
      </c>
      <c r="D19" s="10">
        <f>1/16</f>
        <v>6.25E-2</v>
      </c>
      <c r="E19" s="11" t="s">
        <v>24</v>
      </c>
      <c r="F19" s="24">
        <v>0</v>
      </c>
      <c r="G19" s="24">
        <f t="shared" si="0"/>
        <v>0</v>
      </c>
      <c r="H19" s="12">
        <v>0</v>
      </c>
      <c r="I19" s="14"/>
      <c r="J19" s="13"/>
      <c r="K19" s="44"/>
      <c r="L19" s="44"/>
      <c r="M19" s="44"/>
      <c r="N19" s="44"/>
      <c r="O19" s="44"/>
      <c r="P19" s="44"/>
      <c r="Q19" s="44"/>
      <c r="R19" s="44"/>
      <c r="S19" s="44"/>
    </row>
    <row r="20" spans="1:19" x14ac:dyDescent="0.2">
      <c r="A20" s="8" t="s">
        <v>41</v>
      </c>
      <c r="B20" s="9">
        <f>4/38</f>
        <v>0.10526315789473684</v>
      </c>
      <c r="C20" s="8" t="s">
        <v>18</v>
      </c>
      <c r="D20" s="10">
        <f t="shared" ref="D20:D25" si="8">2/4</f>
        <v>0.5</v>
      </c>
      <c r="E20" s="11" t="s">
        <v>19</v>
      </c>
      <c r="F20" s="24">
        <v>1</v>
      </c>
      <c r="G20" s="24">
        <f t="shared" si="0"/>
        <v>5.2631578947368418E-2</v>
      </c>
      <c r="H20" s="12">
        <f>G20/(G2+G11+G20+G29)</f>
        <v>0.22222222222222221</v>
      </c>
      <c r="I20" s="14"/>
      <c r="J20" s="14"/>
      <c r="K20" s="30"/>
      <c r="L20" s="14"/>
      <c r="M20" s="14"/>
      <c r="N20" s="14"/>
      <c r="O20" s="14"/>
      <c r="P20" s="14"/>
      <c r="Q20" s="14"/>
      <c r="R20" s="14"/>
      <c r="S20" s="14"/>
    </row>
    <row r="21" spans="1:19" x14ac:dyDescent="0.2">
      <c r="A21" s="8" t="s">
        <v>41</v>
      </c>
      <c r="B21" s="9">
        <f>4/38</f>
        <v>0.10526315789473684</v>
      </c>
      <c r="C21" s="8" t="s">
        <v>18</v>
      </c>
      <c r="D21" s="10">
        <f t="shared" si="8"/>
        <v>0.5</v>
      </c>
      <c r="E21" s="11" t="s">
        <v>23</v>
      </c>
      <c r="F21" s="24">
        <v>0</v>
      </c>
      <c r="G21" s="24">
        <f t="shared" si="0"/>
        <v>0</v>
      </c>
      <c r="H21" s="12">
        <f>G21/(G21+G30+G3+G12)</f>
        <v>0</v>
      </c>
      <c r="I21" s="14"/>
      <c r="J21" s="37"/>
      <c r="K21" s="37"/>
      <c r="L21" s="37"/>
      <c r="M21" s="37"/>
      <c r="N21" s="14"/>
      <c r="O21" s="14"/>
      <c r="P21" s="14"/>
      <c r="Q21" s="14"/>
      <c r="R21" s="14"/>
      <c r="S21" s="14"/>
    </row>
    <row r="22" spans="1:19" x14ac:dyDescent="0.2">
      <c r="A22" s="8" t="s">
        <v>41</v>
      </c>
      <c r="B22" s="9">
        <f t="shared" ref="B22:B28" si="9">4/38</f>
        <v>0.10526315789473684</v>
      </c>
      <c r="C22" s="8" t="s">
        <v>18</v>
      </c>
      <c r="D22" s="10">
        <f t="shared" si="8"/>
        <v>0.5</v>
      </c>
      <c r="E22" s="11" t="s">
        <v>24</v>
      </c>
      <c r="F22" s="24">
        <v>0</v>
      </c>
      <c r="G22" s="24">
        <f t="shared" si="0"/>
        <v>0</v>
      </c>
      <c r="H22" s="12">
        <v>0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x14ac:dyDescent="0.2">
      <c r="A23" s="8" t="s">
        <v>41</v>
      </c>
      <c r="B23" s="9">
        <f t="shared" si="9"/>
        <v>0.10526315789473684</v>
      </c>
      <c r="C23" s="8" t="s">
        <v>26</v>
      </c>
      <c r="D23" s="10">
        <f t="shared" si="8"/>
        <v>0.5</v>
      </c>
      <c r="E23" s="11" t="s">
        <v>19</v>
      </c>
      <c r="F23" s="24">
        <v>0</v>
      </c>
      <c r="G23" s="24">
        <f t="shared" si="0"/>
        <v>0</v>
      </c>
      <c r="H23" s="12">
        <f>G23/(G23+G32+G5+G14)</f>
        <v>0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x14ac:dyDescent="0.2">
      <c r="A24" s="8" t="s">
        <v>41</v>
      </c>
      <c r="B24" s="9">
        <f t="shared" si="9"/>
        <v>0.10526315789473684</v>
      </c>
      <c r="C24" s="8" t="s">
        <v>26</v>
      </c>
      <c r="D24" s="10">
        <f t="shared" si="8"/>
        <v>0.5</v>
      </c>
      <c r="E24" s="11" t="s">
        <v>23</v>
      </c>
      <c r="F24" s="24">
        <f>2/2</f>
        <v>1</v>
      </c>
      <c r="G24" s="24">
        <f t="shared" si="0"/>
        <v>5.2631578947368418E-2</v>
      </c>
      <c r="H24" s="12">
        <f>G24/(G24+G33+G6+G15)</f>
        <v>0.16666666666666666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x14ac:dyDescent="0.2">
      <c r="A25" s="8" t="s">
        <v>41</v>
      </c>
      <c r="B25" s="9">
        <f t="shared" si="9"/>
        <v>0.10526315789473684</v>
      </c>
      <c r="C25" s="8" t="s">
        <v>26</v>
      </c>
      <c r="D25" s="10">
        <f t="shared" si="8"/>
        <v>0.5</v>
      </c>
      <c r="E25" s="11" t="s">
        <v>24</v>
      </c>
      <c r="F25" s="24">
        <v>0</v>
      </c>
      <c r="G25" s="24">
        <f t="shared" si="0"/>
        <v>0</v>
      </c>
      <c r="H25" s="12">
        <v>0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x14ac:dyDescent="0.2">
      <c r="A26" s="8" t="s">
        <v>41</v>
      </c>
      <c r="B26" s="9">
        <f t="shared" si="9"/>
        <v>0.10526315789473684</v>
      </c>
      <c r="C26" s="8" t="s">
        <v>28</v>
      </c>
      <c r="D26" s="10">
        <v>0</v>
      </c>
      <c r="E26" s="11" t="s">
        <v>19</v>
      </c>
      <c r="F26" s="24">
        <v>0</v>
      </c>
      <c r="G26" s="24">
        <f t="shared" si="0"/>
        <v>0</v>
      </c>
      <c r="H26" s="12">
        <f>G26/(G26+G35+G8+G17)</f>
        <v>0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x14ac:dyDescent="0.2">
      <c r="A27" s="8" t="s">
        <v>41</v>
      </c>
      <c r="B27" s="9">
        <f t="shared" si="9"/>
        <v>0.10526315789473684</v>
      </c>
      <c r="C27" s="8" t="s">
        <v>28</v>
      </c>
      <c r="D27" s="10">
        <v>0</v>
      </c>
      <c r="E27" s="11" t="s">
        <v>23</v>
      </c>
      <c r="F27" s="24">
        <v>0</v>
      </c>
      <c r="G27" s="24">
        <f t="shared" si="0"/>
        <v>0</v>
      </c>
      <c r="H27" s="12">
        <f>G27/(G27+G36+G9+G18)</f>
        <v>0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x14ac:dyDescent="0.2">
      <c r="A28" s="8" t="s">
        <v>41</v>
      </c>
      <c r="B28" s="9">
        <f t="shared" si="9"/>
        <v>0.10526315789473684</v>
      </c>
      <c r="C28" s="8" t="s">
        <v>28</v>
      </c>
      <c r="D28" s="10">
        <v>0</v>
      </c>
      <c r="E28" s="11" t="s">
        <v>24</v>
      </c>
      <c r="F28" s="24">
        <v>0</v>
      </c>
      <c r="G28" s="24">
        <f t="shared" si="0"/>
        <v>0</v>
      </c>
      <c r="H28" s="12">
        <v>0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x14ac:dyDescent="0.2">
      <c r="A29" s="32">
        <v>100</v>
      </c>
      <c r="B29" s="10">
        <f>8/38</f>
        <v>0.21052631578947367</v>
      </c>
      <c r="C29" s="8" t="s">
        <v>18</v>
      </c>
      <c r="D29" s="10">
        <f>3/8</f>
        <v>0.375</v>
      </c>
      <c r="E29" s="11" t="s">
        <v>19</v>
      </c>
      <c r="F29" s="24">
        <f>3/3</f>
        <v>1</v>
      </c>
      <c r="G29" s="24">
        <f t="shared" si="0"/>
        <v>7.8947368421052627E-2</v>
      </c>
      <c r="H29" s="12">
        <f>G29/(G29+G11+G20+G2)</f>
        <v>0.33333333333333331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x14ac:dyDescent="0.2">
      <c r="A30" s="32">
        <v>100</v>
      </c>
      <c r="B30" s="10">
        <f>8/38</f>
        <v>0.21052631578947367</v>
      </c>
      <c r="C30" s="8" t="s">
        <v>18</v>
      </c>
      <c r="D30" s="10">
        <f>3/8</f>
        <v>0.375</v>
      </c>
      <c r="E30" s="11" t="s">
        <v>23</v>
      </c>
      <c r="F30" s="24">
        <v>0</v>
      </c>
      <c r="G30" s="24">
        <f t="shared" si="0"/>
        <v>0</v>
      </c>
      <c r="H30" s="12">
        <f t="shared" ref="H30:H35" si="10">G30/(G30+G3+G12+G21)</f>
        <v>0</v>
      </c>
      <c r="I30" s="14"/>
      <c r="J30" s="33"/>
      <c r="K30" s="14"/>
      <c r="L30" s="14"/>
      <c r="M30" s="14"/>
      <c r="N30" s="14"/>
      <c r="O30" s="14"/>
      <c r="P30" s="14"/>
      <c r="Q30" s="14"/>
      <c r="R30" s="14"/>
      <c r="S30" s="14"/>
    </row>
    <row r="31" spans="1:19" x14ac:dyDescent="0.2">
      <c r="A31" s="32">
        <v>100</v>
      </c>
      <c r="B31" s="10">
        <f t="shared" ref="B31:B37" si="11">8/38</f>
        <v>0.21052631578947367</v>
      </c>
      <c r="C31" s="8" t="s">
        <v>18</v>
      </c>
      <c r="D31" s="10">
        <f>3/8</f>
        <v>0.375</v>
      </c>
      <c r="E31" s="11" t="s">
        <v>24</v>
      </c>
      <c r="F31" s="24">
        <v>0</v>
      </c>
      <c r="G31" s="24">
        <f t="shared" si="0"/>
        <v>0</v>
      </c>
      <c r="H31" s="12">
        <v>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x14ac:dyDescent="0.2">
      <c r="A32" s="32">
        <v>100</v>
      </c>
      <c r="B32" s="10">
        <f t="shared" si="11"/>
        <v>0.21052631578947367</v>
      </c>
      <c r="C32" s="8" t="s">
        <v>26</v>
      </c>
      <c r="D32" s="10">
        <f>5/8</f>
        <v>0.625</v>
      </c>
      <c r="E32" s="11" t="s">
        <v>19</v>
      </c>
      <c r="F32" s="24">
        <f>2/5</f>
        <v>0.4</v>
      </c>
      <c r="G32" s="24">
        <f t="shared" si="0"/>
        <v>5.2631578947368418E-2</v>
      </c>
      <c r="H32" s="12">
        <f t="shared" si="10"/>
        <v>0.16666666666666666</v>
      </c>
      <c r="I32" s="33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x14ac:dyDescent="0.2">
      <c r="A33" s="32">
        <v>100</v>
      </c>
      <c r="B33" s="10">
        <f t="shared" si="11"/>
        <v>0.21052631578947367</v>
      </c>
      <c r="C33" s="8" t="s">
        <v>26</v>
      </c>
      <c r="D33" s="10">
        <f>5/8</f>
        <v>0.625</v>
      </c>
      <c r="E33" s="11" t="s">
        <v>23</v>
      </c>
      <c r="F33" s="24">
        <f>3/5</f>
        <v>0.6</v>
      </c>
      <c r="G33" s="24">
        <f t="shared" si="0"/>
        <v>7.8947368421052627E-2</v>
      </c>
      <c r="H33" s="12">
        <f t="shared" si="10"/>
        <v>0.25</v>
      </c>
      <c r="I33" s="33"/>
      <c r="J33" s="14"/>
      <c r="K33" s="14"/>
      <c r="L33" s="34"/>
      <c r="M33" s="14"/>
      <c r="N33" s="14"/>
      <c r="O33" s="14"/>
      <c r="P33" s="14"/>
      <c r="Q33" s="14"/>
      <c r="R33" s="14"/>
      <c r="S33" s="14"/>
    </row>
    <row r="34" spans="1:19" x14ac:dyDescent="0.2">
      <c r="A34" s="32">
        <v>100</v>
      </c>
      <c r="B34" s="10">
        <f t="shared" si="11"/>
        <v>0.21052631578947367</v>
      </c>
      <c r="C34" s="8" t="s">
        <v>26</v>
      </c>
      <c r="D34" s="10">
        <f>5/8</f>
        <v>0.625</v>
      </c>
      <c r="E34" s="11" t="s">
        <v>24</v>
      </c>
      <c r="F34" s="24">
        <v>0</v>
      </c>
      <c r="G34" s="24">
        <f t="shared" si="0"/>
        <v>0</v>
      </c>
      <c r="H34" s="12">
        <v>0</v>
      </c>
      <c r="I34" s="33"/>
      <c r="J34" s="14"/>
      <c r="K34" s="14"/>
      <c r="L34" s="34"/>
      <c r="M34" s="14"/>
      <c r="N34" s="14"/>
      <c r="O34" s="14"/>
      <c r="P34" s="14"/>
      <c r="Q34" s="14"/>
      <c r="R34" s="14"/>
      <c r="S34" s="14"/>
    </row>
    <row r="35" spans="1:19" x14ac:dyDescent="0.2">
      <c r="A35" s="32">
        <v>100</v>
      </c>
      <c r="B35" s="10">
        <f t="shared" si="11"/>
        <v>0.21052631578947367</v>
      </c>
      <c r="C35" s="8" t="s">
        <v>28</v>
      </c>
      <c r="D35" s="10">
        <v>0</v>
      </c>
      <c r="E35" s="11" t="s">
        <v>19</v>
      </c>
      <c r="F35" s="24">
        <v>0</v>
      </c>
      <c r="G35" s="24">
        <f t="shared" si="0"/>
        <v>0</v>
      </c>
      <c r="H35" s="12">
        <f t="shared" si="10"/>
        <v>0</v>
      </c>
      <c r="I35" s="14"/>
      <c r="J35" s="14"/>
      <c r="K35" s="14"/>
      <c r="L35" s="34"/>
      <c r="M35" s="14"/>
      <c r="N35" s="14"/>
      <c r="O35" s="14"/>
      <c r="P35" s="14"/>
      <c r="Q35" s="14"/>
      <c r="R35" s="14"/>
      <c r="S35" s="14"/>
    </row>
    <row r="36" spans="1:19" x14ac:dyDescent="0.2">
      <c r="A36" s="32">
        <v>100</v>
      </c>
      <c r="B36" s="10">
        <f t="shared" si="11"/>
        <v>0.21052631578947367</v>
      </c>
      <c r="C36" s="8" t="s">
        <v>28</v>
      </c>
      <c r="D36" s="10">
        <v>0</v>
      </c>
      <c r="E36" s="11" t="s">
        <v>23</v>
      </c>
      <c r="F36" s="24">
        <v>0</v>
      </c>
      <c r="G36" s="24">
        <f t="shared" si="0"/>
        <v>0</v>
      </c>
      <c r="H36" s="12">
        <f>G36/(G36+G27+G18+G9)</f>
        <v>0</v>
      </c>
      <c r="I36" s="14"/>
      <c r="J36" s="14"/>
      <c r="K36" s="14"/>
      <c r="L36" s="34"/>
      <c r="M36" s="14"/>
      <c r="N36" s="14"/>
      <c r="O36" s="14"/>
      <c r="P36" s="14"/>
      <c r="Q36" s="14"/>
      <c r="R36" s="14"/>
      <c r="S36" s="14"/>
    </row>
    <row r="37" spans="1:19" x14ac:dyDescent="0.2">
      <c r="A37" s="32">
        <v>100</v>
      </c>
      <c r="B37" s="10">
        <f t="shared" si="11"/>
        <v>0.21052631578947367</v>
      </c>
      <c r="C37" s="8" t="s">
        <v>28</v>
      </c>
      <c r="D37" s="10">
        <v>0</v>
      </c>
      <c r="E37" s="11" t="s">
        <v>24</v>
      </c>
      <c r="F37" s="24">
        <v>0</v>
      </c>
      <c r="G37" s="24">
        <f t="shared" si="0"/>
        <v>0</v>
      </c>
      <c r="H37" s="12">
        <v>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x14ac:dyDescent="0.2">
      <c r="A38" s="14"/>
      <c r="B38" s="14"/>
      <c r="C38" s="14"/>
      <c r="D38" s="14"/>
      <c r="E38" s="14"/>
      <c r="F38" s="30"/>
      <c r="G38" s="30"/>
      <c r="H38" s="3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x14ac:dyDescent="0.2">
      <c r="A39" s="14"/>
      <c r="B39" s="14"/>
      <c r="C39" s="14"/>
      <c r="D39" s="14"/>
      <c r="E39" s="14"/>
      <c r="F39" s="30"/>
      <c r="G39" s="30"/>
      <c r="H39" s="3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2"/>
  <sheetViews>
    <sheetView zoomScaleNormal="100" workbookViewId="0">
      <selection activeCell="Q50" sqref="Q50"/>
    </sheetView>
  </sheetViews>
  <sheetFormatPr defaultRowHeight="14.25" x14ac:dyDescent="0.2"/>
  <cols>
    <col min="1" max="1" width="9.75" style="60" bestFit="1" customWidth="1"/>
    <col min="2" max="14" width="9" style="60"/>
  </cols>
  <sheetData>
    <row r="1" spans="1:14" x14ac:dyDescent="0.2">
      <c r="A1" s="48" t="s">
        <v>42</v>
      </c>
      <c r="B1" s="48" t="s">
        <v>13</v>
      </c>
      <c r="C1" s="48" t="s">
        <v>44</v>
      </c>
      <c r="D1" s="48" t="s">
        <v>51</v>
      </c>
      <c r="E1" s="48" t="s">
        <v>52</v>
      </c>
      <c r="F1" s="48" t="s">
        <v>1</v>
      </c>
      <c r="G1" s="48" t="s">
        <v>2</v>
      </c>
      <c r="H1" s="48" t="s">
        <v>45</v>
      </c>
      <c r="I1" s="48" t="s">
        <v>43</v>
      </c>
      <c r="J1" s="48" t="s">
        <v>50</v>
      </c>
      <c r="K1" s="48" t="s">
        <v>43</v>
      </c>
      <c r="L1" s="49" t="s">
        <v>3</v>
      </c>
      <c r="M1" s="49" t="s">
        <v>4</v>
      </c>
      <c r="N1" s="49" t="s">
        <v>5</v>
      </c>
    </row>
    <row r="2" spans="1:14" x14ac:dyDescent="0.2">
      <c r="A2" s="46" t="s">
        <v>49</v>
      </c>
      <c r="B2" s="46">
        <v>1961</v>
      </c>
      <c r="C2" s="46" t="s">
        <v>57</v>
      </c>
      <c r="D2" s="46">
        <v>20</v>
      </c>
      <c r="E2" s="46">
        <v>0</v>
      </c>
      <c r="F2" s="46">
        <v>20</v>
      </c>
      <c r="G2" s="46">
        <v>49</v>
      </c>
      <c r="H2" s="46" t="s">
        <v>53</v>
      </c>
      <c r="I2" s="46">
        <v>40.816326530612244</v>
      </c>
      <c r="J2" s="1" t="s">
        <v>6</v>
      </c>
      <c r="K2" s="46">
        <v>40.816326530612244</v>
      </c>
      <c r="L2" s="1">
        <v>1</v>
      </c>
      <c r="M2" s="46">
        <v>1</v>
      </c>
      <c r="N2" s="46">
        <v>2</v>
      </c>
    </row>
    <row r="3" spans="1:14" x14ac:dyDescent="0.2">
      <c r="A3" s="46" t="s">
        <v>49</v>
      </c>
      <c r="B3" s="46">
        <v>3209</v>
      </c>
      <c r="C3" s="46" t="s">
        <v>58</v>
      </c>
      <c r="D3" s="46">
        <v>0</v>
      </c>
      <c r="E3" s="46">
        <v>38</v>
      </c>
      <c r="F3" s="46">
        <v>38</v>
      </c>
      <c r="G3" s="46">
        <v>77</v>
      </c>
      <c r="H3" s="46" t="s">
        <v>53</v>
      </c>
      <c r="I3" s="46">
        <v>49.350649350649348</v>
      </c>
      <c r="J3" s="1" t="s">
        <v>6</v>
      </c>
      <c r="K3" s="46">
        <v>49.350649350649348</v>
      </c>
      <c r="L3" s="1">
        <v>1</v>
      </c>
      <c r="M3" s="46">
        <v>1</v>
      </c>
      <c r="N3" s="46">
        <v>3</v>
      </c>
    </row>
    <row r="4" spans="1:14" x14ac:dyDescent="0.2">
      <c r="A4" s="46" t="s">
        <v>49</v>
      </c>
      <c r="B4" s="46">
        <v>1951</v>
      </c>
      <c r="C4" s="46" t="s">
        <v>57</v>
      </c>
      <c r="D4" s="46">
        <v>0</v>
      </c>
      <c r="E4" s="46">
        <v>22</v>
      </c>
      <c r="F4" s="46">
        <v>22</v>
      </c>
      <c r="G4" s="46">
        <v>151</v>
      </c>
      <c r="H4" s="46" t="s">
        <v>54</v>
      </c>
      <c r="I4" s="46">
        <v>14.569536423841059</v>
      </c>
      <c r="J4" s="1" t="s">
        <v>6</v>
      </c>
      <c r="K4" s="46">
        <v>14.569536423841059</v>
      </c>
      <c r="L4" s="1">
        <v>1</v>
      </c>
      <c r="M4" s="46">
        <v>2</v>
      </c>
      <c r="N4" s="46">
        <v>2</v>
      </c>
    </row>
    <row r="5" spans="1:14" x14ac:dyDescent="0.2">
      <c r="A5" s="46" t="s">
        <v>49</v>
      </c>
      <c r="B5" s="46">
        <v>1967</v>
      </c>
      <c r="C5" s="46" t="s">
        <v>57</v>
      </c>
      <c r="D5" s="46">
        <v>0</v>
      </c>
      <c r="E5" s="46">
        <v>130</v>
      </c>
      <c r="F5" s="46">
        <v>130</v>
      </c>
      <c r="G5" s="46">
        <v>286</v>
      </c>
      <c r="H5" s="46" t="s">
        <v>54</v>
      </c>
      <c r="I5" s="46">
        <v>45.454545454545453</v>
      </c>
      <c r="J5" s="1" t="s">
        <v>6</v>
      </c>
      <c r="K5" s="46">
        <v>45.454545454545453</v>
      </c>
      <c r="L5" s="1">
        <v>1</v>
      </c>
      <c r="M5" s="46">
        <v>2</v>
      </c>
      <c r="N5" s="46">
        <v>2</v>
      </c>
    </row>
    <row r="6" spans="1:14" x14ac:dyDescent="0.2">
      <c r="A6" s="46" t="s">
        <v>49</v>
      </c>
      <c r="B6" s="46">
        <v>2138</v>
      </c>
      <c r="C6" s="46" t="s">
        <v>57</v>
      </c>
      <c r="D6" s="46">
        <v>0</v>
      </c>
      <c r="E6" s="46">
        <v>23</v>
      </c>
      <c r="F6" s="46">
        <v>23</v>
      </c>
      <c r="G6" s="46">
        <v>150</v>
      </c>
      <c r="H6" s="46" t="s">
        <v>54</v>
      </c>
      <c r="I6" s="46">
        <v>15.333333333333332</v>
      </c>
      <c r="J6" s="1" t="s">
        <v>6</v>
      </c>
      <c r="K6" s="46">
        <v>15.333333333333332</v>
      </c>
      <c r="L6" s="1">
        <v>1</v>
      </c>
      <c r="M6" s="46">
        <v>2</v>
      </c>
      <c r="N6" s="46">
        <v>2</v>
      </c>
    </row>
    <row r="7" spans="1:14" x14ac:dyDescent="0.2">
      <c r="A7" s="46" t="s">
        <v>49</v>
      </c>
      <c r="B7" s="46">
        <v>3139</v>
      </c>
      <c r="C7" s="46" t="s">
        <v>58</v>
      </c>
      <c r="D7" s="46">
        <v>49</v>
      </c>
      <c r="E7" s="46">
        <v>0</v>
      </c>
      <c r="F7" s="46">
        <v>49</v>
      </c>
      <c r="G7" s="46">
        <v>201</v>
      </c>
      <c r="H7" s="46" t="s">
        <v>54</v>
      </c>
      <c r="I7" s="46">
        <v>24.378109452736318</v>
      </c>
      <c r="J7" s="1" t="s">
        <v>6</v>
      </c>
      <c r="K7" s="46">
        <v>24.378109452736318</v>
      </c>
      <c r="L7" s="1">
        <v>1</v>
      </c>
      <c r="M7" s="46">
        <v>2</v>
      </c>
      <c r="N7" s="46">
        <v>3</v>
      </c>
    </row>
    <row r="8" spans="1:14" x14ac:dyDescent="0.2">
      <c r="A8" s="46" t="s">
        <v>49</v>
      </c>
      <c r="B8" s="46">
        <v>1540</v>
      </c>
      <c r="C8" s="46" t="s">
        <v>57</v>
      </c>
      <c r="D8" s="46">
        <v>0</v>
      </c>
      <c r="E8" s="46">
        <v>267</v>
      </c>
      <c r="F8" s="46">
        <v>267</v>
      </c>
      <c r="G8" s="46">
        <v>601</v>
      </c>
      <c r="H8" s="46" t="s">
        <v>55</v>
      </c>
      <c r="I8" s="46">
        <v>44.425956738768718</v>
      </c>
      <c r="J8" s="1" t="s">
        <v>6</v>
      </c>
      <c r="K8" s="46">
        <v>44.425956738768718</v>
      </c>
      <c r="L8" s="1">
        <v>1</v>
      </c>
      <c r="M8" s="46">
        <v>3</v>
      </c>
      <c r="N8" s="46">
        <v>2</v>
      </c>
    </row>
    <row r="9" spans="1:14" x14ac:dyDescent="0.2">
      <c r="A9" s="46" t="s">
        <v>49</v>
      </c>
      <c r="B9" s="46">
        <v>2733</v>
      </c>
      <c r="C9" s="46" t="s">
        <v>57</v>
      </c>
      <c r="D9" s="46">
        <v>0</v>
      </c>
      <c r="E9" s="46">
        <v>135</v>
      </c>
      <c r="F9" s="46">
        <v>135</v>
      </c>
      <c r="G9" s="46">
        <v>369</v>
      </c>
      <c r="H9" s="46" t="s">
        <v>55</v>
      </c>
      <c r="I9" s="46">
        <v>36.585365853658537</v>
      </c>
      <c r="J9" s="1" t="s">
        <v>6</v>
      </c>
      <c r="K9" s="46">
        <v>36.585365853658537</v>
      </c>
      <c r="L9" s="1">
        <v>1</v>
      </c>
      <c r="M9" s="46">
        <v>3</v>
      </c>
      <c r="N9" s="46">
        <v>2</v>
      </c>
    </row>
    <row r="10" spans="1:14" x14ac:dyDescent="0.2">
      <c r="A10" s="46" t="s">
        <v>49</v>
      </c>
      <c r="B10" s="46">
        <v>2937</v>
      </c>
      <c r="C10" s="46" t="s">
        <v>57</v>
      </c>
      <c r="D10" s="46">
        <v>0</v>
      </c>
      <c r="E10" s="46">
        <v>39</v>
      </c>
      <c r="F10" s="46">
        <v>39</v>
      </c>
      <c r="G10" s="46">
        <v>307</v>
      </c>
      <c r="H10" s="46" t="s">
        <v>55</v>
      </c>
      <c r="I10" s="46">
        <v>12.703583061889251</v>
      </c>
      <c r="J10" s="1" t="s">
        <v>6</v>
      </c>
      <c r="K10" s="46">
        <v>12.703583061889251</v>
      </c>
      <c r="L10" s="1">
        <v>1</v>
      </c>
      <c r="M10" s="46">
        <v>3</v>
      </c>
      <c r="N10" s="46">
        <v>2</v>
      </c>
    </row>
    <row r="11" spans="1:14" x14ac:dyDescent="0.2">
      <c r="A11" s="46" t="s">
        <v>49</v>
      </c>
      <c r="B11" s="46">
        <v>3051</v>
      </c>
      <c r="C11" s="46" t="s">
        <v>58</v>
      </c>
      <c r="D11" s="46">
        <v>0</v>
      </c>
      <c r="E11" s="46">
        <v>181</v>
      </c>
      <c r="F11" s="46">
        <v>181</v>
      </c>
      <c r="G11" s="46">
        <v>484</v>
      </c>
      <c r="H11" s="46" t="s">
        <v>55</v>
      </c>
      <c r="I11" s="46">
        <v>37.396694214876028</v>
      </c>
      <c r="J11" s="1" t="s">
        <v>6</v>
      </c>
      <c r="K11" s="46">
        <v>37.396694214876028</v>
      </c>
      <c r="L11" s="1">
        <v>1</v>
      </c>
      <c r="M11" s="46">
        <v>3</v>
      </c>
      <c r="N11" s="46">
        <v>3</v>
      </c>
    </row>
    <row r="12" spans="1:14" x14ac:dyDescent="0.2">
      <c r="A12" s="46" t="s">
        <v>49</v>
      </c>
      <c r="B12" s="46">
        <v>3141</v>
      </c>
      <c r="C12" s="46" t="s">
        <v>58</v>
      </c>
      <c r="D12" s="46">
        <v>0</v>
      </c>
      <c r="E12" s="46">
        <v>186</v>
      </c>
      <c r="F12" s="46">
        <v>186</v>
      </c>
      <c r="G12" s="46">
        <v>392</v>
      </c>
      <c r="H12" s="46" t="s">
        <v>55</v>
      </c>
      <c r="I12" s="46">
        <v>47.448979591836739</v>
      </c>
      <c r="J12" s="1" t="s">
        <v>6</v>
      </c>
      <c r="K12" s="46">
        <v>47.448979591836739</v>
      </c>
      <c r="L12" s="1">
        <v>1</v>
      </c>
      <c r="M12" s="46">
        <v>3</v>
      </c>
      <c r="N12" s="46">
        <v>3</v>
      </c>
    </row>
    <row r="13" spans="1:14" x14ac:dyDescent="0.2">
      <c r="A13" s="46" t="s">
        <v>49</v>
      </c>
      <c r="B13" s="46">
        <v>1863</v>
      </c>
      <c r="C13" s="46" t="s">
        <v>57</v>
      </c>
      <c r="D13" s="46">
        <v>0</v>
      </c>
      <c r="E13" s="46">
        <v>75</v>
      </c>
      <c r="F13" s="46">
        <v>75</v>
      </c>
      <c r="G13" s="46">
        <v>112</v>
      </c>
      <c r="H13" s="46" t="s">
        <v>53</v>
      </c>
      <c r="I13" s="46">
        <v>66.964285714285708</v>
      </c>
      <c r="J13" s="1" t="s">
        <v>7</v>
      </c>
      <c r="K13" s="46">
        <v>66.964285714285708</v>
      </c>
      <c r="L13" s="46">
        <v>2</v>
      </c>
      <c r="M13" s="46">
        <v>1</v>
      </c>
      <c r="N13" s="46">
        <v>2</v>
      </c>
    </row>
    <row r="14" spans="1:14" x14ac:dyDescent="0.2">
      <c r="A14" s="46" t="s">
        <v>49</v>
      </c>
      <c r="B14" s="46">
        <v>1982</v>
      </c>
      <c r="C14" s="46" t="s">
        <v>57</v>
      </c>
      <c r="D14" s="46">
        <v>0</v>
      </c>
      <c r="E14" s="46">
        <v>26</v>
      </c>
      <c r="F14" s="46">
        <v>26</v>
      </c>
      <c r="G14" s="46">
        <v>49</v>
      </c>
      <c r="H14" s="46" t="s">
        <v>53</v>
      </c>
      <c r="I14" s="46">
        <v>53.061224489795919</v>
      </c>
      <c r="J14" s="1" t="s">
        <v>7</v>
      </c>
      <c r="K14" s="46">
        <v>53.061224489795919</v>
      </c>
      <c r="L14" s="46">
        <v>2</v>
      </c>
      <c r="M14" s="46">
        <v>1</v>
      </c>
      <c r="N14" s="46">
        <v>2</v>
      </c>
    </row>
    <row r="15" spans="1:14" x14ac:dyDescent="0.2">
      <c r="A15" s="46" t="s">
        <v>49</v>
      </c>
      <c r="B15" s="46">
        <v>2234</v>
      </c>
      <c r="C15" s="46" t="s">
        <v>57</v>
      </c>
      <c r="D15" s="46">
        <v>64</v>
      </c>
      <c r="E15" s="46">
        <v>17</v>
      </c>
      <c r="F15" s="46">
        <v>81</v>
      </c>
      <c r="G15" s="46">
        <v>112</v>
      </c>
      <c r="H15" s="46" t="s">
        <v>53</v>
      </c>
      <c r="I15" s="46">
        <v>72.321428571428569</v>
      </c>
      <c r="J15" s="1" t="s">
        <v>7</v>
      </c>
      <c r="K15" s="46">
        <v>72.321428571428569</v>
      </c>
      <c r="L15" s="46">
        <v>2</v>
      </c>
      <c r="M15" s="46">
        <v>1</v>
      </c>
      <c r="N15" s="46">
        <v>2</v>
      </c>
    </row>
    <row r="16" spans="1:14" x14ac:dyDescent="0.2">
      <c r="A16" s="46" t="s">
        <v>49</v>
      </c>
      <c r="B16" s="46">
        <v>2315</v>
      </c>
      <c r="C16" s="46" t="s">
        <v>57</v>
      </c>
      <c r="D16" s="46">
        <v>0</v>
      </c>
      <c r="E16" s="46">
        <v>25</v>
      </c>
      <c r="F16" s="46">
        <v>25</v>
      </c>
      <c r="G16" s="46">
        <v>48</v>
      </c>
      <c r="H16" s="46" t="s">
        <v>53</v>
      </c>
      <c r="I16" s="46">
        <v>52.083333333333336</v>
      </c>
      <c r="J16" s="1" t="s">
        <v>7</v>
      </c>
      <c r="K16" s="46">
        <v>52.083333333333336</v>
      </c>
      <c r="L16" s="46">
        <v>2</v>
      </c>
      <c r="M16" s="46">
        <v>1</v>
      </c>
      <c r="N16" s="46">
        <v>2</v>
      </c>
    </row>
    <row r="17" spans="1:14" x14ac:dyDescent="0.2">
      <c r="A17" s="46" t="s">
        <v>49</v>
      </c>
      <c r="B17" s="46">
        <v>2375</v>
      </c>
      <c r="C17" s="46" t="s">
        <v>57</v>
      </c>
      <c r="D17" s="46">
        <v>0</v>
      </c>
      <c r="E17" s="46">
        <v>25</v>
      </c>
      <c r="F17" s="46">
        <v>25</v>
      </c>
      <c r="G17" s="46">
        <v>49</v>
      </c>
      <c r="H17" s="46" t="s">
        <v>53</v>
      </c>
      <c r="I17" s="46">
        <v>51.020408163265309</v>
      </c>
      <c r="J17" s="1" t="s">
        <v>7</v>
      </c>
      <c r="K17" s="46">
        <v>51.020408163265309</v>
      </c>
      <c r="L17" s="46">
        <v>2</v>
      </c>
      <c r="M17" s="46">
        <v>1</v>
      </c>
      <c r="N17" s="46">
        <v>2</v>
      </c>
    </row>
    <row r="18" spans="1:14" x14ac:dyDescent="0.2">
      <c r="A18" s="46" t="s">
        <v>49</v>
      </c>
      <c r="B18" s="46">
        <v>2483</v>
      </c>
      <c r="C18" s="46" t="s">
        <v>57</v>
      </c>
      <c r="D18" s="46">
        <v>0</v>
      </c>
      <c r="E18" s="46">
        <v>35</v>
      </c>
      <c r="F18" s="46">
        <v>35</v>
      </c>
      <c r="G18" s="46">
        <v>55</v>
      </c>
      <c r="H18" s="46" t="s">
        <v>53</v>
      </c>
      <c r="I18" s="46">
        <v>63.636363636363633</v>
      </c>
      <c r="J18" s="1" t="s">
        <v>7</v>
      </c>
      <c r="K18" s="46">
        <v>63.636363636363633</v>
      </c>
      <c r="L18" s="46">
        <v>2</v>
      </c>
      <c r="M18" s="46">
        <v>1</v>
      </c>
      <c r="N18" s="46">
        <v>2</v>
      </c>
    </row>
    <row r="19" spans="1:14" x14ac:dyDescent="0.2">
      <c r="A19" s="46" t="s">
        <v>49</v>
      </c>
      <c r="B19" s="46">
        <v>2802</v>
      </c>
      <c r="C19" s="46" t="s">
        <v>57</v>
      </c>
      <c r="D19" s="46">
        <v>31</v>
      </c>
      <c r="E19" s="46">
        <v>0</v>
      </c>
      <c r="F19" s="46">
        <v>31</v>
      </c>
      <c r="G19" s="46">
        <v>55</v>
      </c>
      <c r="H19" s="46" t="s">
        <v>53</v>
      </c>
      <c r="I19" s="46">
        <v>56.36363636363636</v>
      </c>
      <c r="J19" s="1" t="s">
        <v>7</v>
      </c>
      <c r="K19" s="46">
        <v>56.36363636363636</v>
      </c>
      <c r="L19" s="46">
        <v>2</v>
      </c>
      <c r="M19" s="46">
        <v>1</v>
      </c>
      <c r="N19" s="46">
        <v>2</v>
      </c>
    </row>
    <row r="20" spans="1:14" x14ac:dyDescent="0.2">
      <c r="A20" s="46" t="s">
        <v>49</v>
      </c>
      <c r="B20" s="46">
        <v>2872</v>
      </c>
      <c r="C20" s="46" t="s">
        <v>57</v>
      </c>
      <c r="D20" s="46">
        <v>0</v>
      </c>
      <c r="E20" s="46">
        <v>46</v>
      </c>
      <c r="F20" s="46">
        <v>46</v>
      </c>
      <c r="G20" s="46">
        <v>81</v>
      </c>
      <c r="H20" s="46" t="s">
        <v>53</v>
      </c>
      <c r="I20" s="46">
        <v>56.79012345679012</v>
      </c>
      <c r="J20" s="1" t="s">
        <v>7</v>
      </c>
      <c r="K20" s="46">
        <v>56.79012345679012</v>
      </c>
      <c r="L20" s="46">
        <v>2</v>
      </c>
      <c r="M20" s="46">
        <v>1</v>
      </c>
      <c r="N20" s="46">
        <v>2</v>
      </c>
    </row>
    <row r="21" spans="1:14" x14ac:dyDescent="0.2">
      <c r="A21" s="46" t="s">
        <v>49</v>
      </c>
      <c r="B21" s="46">
        <v>3048</v>
      </c>
      <c r="C21" s="46" t="s">
        <v>58</v>
      </c>
      <c r="D21" s="46">
        <v>0</v>
      </c>
      <c r="E21" s="46">
        <v>40</v>
      </c>
      <c r="F21" s="46">
        <v>40</v>
      </c>
      <c r="G21" s="46">
        <v>77</v>
      </c>
      <c r="H21" s="46" t="s">
        <v>53</v>
      </c>
      <c r="I21" s="46">
        <v>51.94805194805194</v>
      </c>
      <c r="J21" s="1" t="s">
        <v>7</v>
      </c>
      <c r="K21" s="46">
        <v>51.94805194805194</v>
      </c>
      <c r="L21" s="46">
        <v>2</v>
      </c>
      <c r="M21" s="46">
        <v>1</v>
      </c>
      <c r="N21" s="46">
        <v>3</v>
      </c>
    </row>
    <row r="22" spans="1:14" x14ac:dyDescent="0.2">
      <c r="A22" s="46" t="s">
        <v>49</v>
      </c>
      <c r="B22" s="46">
        <v>3204</v>
      </c>
      <c r="C22" s="46" t="s">
        <v>58</v>
      </c>
      <c r="D22" s="46">
        <v>87</v>
      </c>
      <c r="E22" s="46">
        <v>0</v>
      </c>
      <c r="F22" s="46">
        <v>87</v>
      </c>
      <c r="G22" s="46">
        <v>131</v>
      </c>
      <c r="H22" s="46" t="s">
        <v>53</v>
      </c>
      <c r="I22" s="46">
        <v>66.412213740458014</v>
      </c>
      <c r="J22" s="1" t="s">
        <v>7</v>
      </c>
      <c r="K22" s="46">
        <v>66.412213740458014</v>
      </c>
      <c r="L22" s="46">
        <v>2</v>
      </c>
      <c r="M22" s="46">
        <v>1</v>
      </c>
      <c r="N22" s="46">
        <v>3</v>
      </c>
    </row>
    <row r="23" spans="1:14" x14ac:dyDescent="0.2">
      <c r="A23" s="46" t="s">
        <v>49</v>
      </c>
      <c r="B23" s="46">
        <v>1633</v>
      </c>
      <c r="C23" s="46" t="s">
        <v>57</v>
      </c>
      <c r="D23" s="46">
        <v>179</v>
      </c>
      <c r="E23" s="46">
        <v>19</v>
      </c>
      <c r="F23" s="46">
        <v>198</v>
      </c>
      <c r="G23" s="46">
        <v>287</v>
      </c>
      <c r="H23" s="46" t="s">
        <v>54</v>
      </c>
      <c r="I23" s="46">
        <v>68.98954703832753</v>
      </c>
      <c r="J23" s="1" t="s">
        <v>7</v>
      </c>
      <c r="K23" s="46">
        <v>68.98954703832753</v>
      </c>
      <c r="L23" s="46">
        <v>2</v>
      </c>
      <c r="M23" s="46">
        <v>2</v>
      </c>
      <c r="N23" s="46">
        <v>2</v>
      </c>
    </row>
    <row r="24" spans="1:14" x14ac:dyDescent="0.2">
      <c r="A24" s="46" t="s">
        <v>49</v>
      </c>
      <c r="B24" s="46">
        <v>2008</v>
      </c>
      <c r="C24" s="46" t="s">
        <v>57</v>
      </c>
      <c r="D24" s="46">
        <v>78</v>
      </c>
      <c r="E24" s="46">
        <v>35</v>
      </c>
      <c r="F24" s="46">
        <v>113</v>
      </c>
      <c r="G24" s="46">
        <v>184</v>
      </c>
      <c r="H24" s="46" t="s">
        <v>54</v>
      </c>
      <c r="I24" s="46">
        <v>61.413043478260867</v>
      </c>
      <c r="J24" s="1" t="s">
        <v>7</v>
      </c>
      <c r="K24" s="46">
        <v>61.413043478260867</v>
      </c>
      <c r="L24" s="46">
        <v>2</v>
      </c>
      <c r="M24" s="46">
        <v>2</v>
      </c>
      <c r="N24" s="46">
        <v>2</v>
      </c>
    </row>
    <row r="25" spans="1:14" x14ac:dyDescent="0.2">
      <c r="A25" s="46" t="s">
        <v>49</v>
      </c>
      <c r="B25" s="46">
        <v>2026</v>
      </c>
      <c r="C25" s="46" t="s">
        <v>57</v>
      </c>
      <c r="D25" s="46">
        <v>0</v>
      </c>
      <c r="E25" s="46">
        <v>149</v>
      </c>
      <c r="F25" s="46">
        <v>149</v>
      </c>
      <c r="G25" s="46">
        <v>243</v>
      </c>
      <c r="H25" s="46" t="s">
        <v>54</v>
      </c>
      <c r="I25" s="46">
        <v>61.31687242798354</v>
      </c>
      <c r="J25" s="1" t="s">
        <v>7</v>
      </c>
      <c r="K25" s="46">
        <v>61.31687242798354</v>
      </c>
      <c r="L25" s="46">
        <v>2</v>
      </c>
      <c r="M25" s="46">
        <v>2</v>
      </c>
      <c r="N25" s="46">
        <v>2</v>
      </c>
    </row>
    <row r="26" spans="1:14" x14ac:dyDescent="0.2">
      <c r="A26" s="46" t="s">
        <v>49</v>
      </c>
      <c r="B26" s="46">
        <v>2133</v>
      </c>
      <c r="C26" s="46" t="s">
        <v>57</v>
      </c>
      <c r="D26" s="46">
        <v>106</v>
      </c>
      <c r="E26" s="46">
        <v>54</v>
      </c>
      <c r="F26" s="46">
        <v>160</v>
      </c>
      <c r="G26" s="46">
        <v>218</v>
      </c>
      <c r="H26" s="46" t="s">
        <v>54</v>
      </c>
      <c r="I26" s="46">
        <v>73.394495412844037</v>
      </c>
      <c r="J26" s="1" t="s">
        <v>7</v>
      </c>
      <c r="K26" s="46">
        <v>73.394495412844037</v>
      </c>
      <c r="L26" s="46">
        <v>2</v>
      </c>
      <c r="M26" s="46">
        <v>2</v>
      </c>
      <c r="N26" s="46">
        <v>2</v>
      </c>
    </row>
    <row r="27" spans="1:14" x14ac:dyDescent="0.2">
      <c r="A27" s="46" t="s">
        <v>49</v>
      </c>
      <c r="B27" s="46">
        <v>2156</v>
      </c>
      <c r="C27" s="46" t="s">
        <v>57</v>
      </c>
      <c r="D27" s="46">
        <v>0</v>
      </c>
      <c r="E27" s="46">
        <v>196</v>
      </c>
      <c r="F27" s="46">
        <v>196</v>
      </c>
      <c r="G27" s="46">
        <v>296</v>
      </c>
      <c r="H27" s="46" t="s">
        <v>54</v>
      </c>
      <c r="I27" s="46">
        <v>66.21621621621621</v>
      </c>
      <c r="J27" s="1" t="s">
        <v>7</v>
      </c>
      <c r="K27" s="46">
        <v>66.21621621621621</v>
      </c>
      <c r="L27" s="46">
        <v>2</v>
      </c>
      <c r="M27" s="46">
        <v>2</v>
      </c>
      <c r="N27" s="46">
        <v>2</v>
      </c>
    </row>
    <row r="28" spans="1:14" x14ac:dyDescent="0.2">
      <c r="A28" s="46" t="s">
        <v>49</v>
      </c>
      <c r="B28" s="46">
        <v>2371</v>
      </c>
      <c r="C28" s="46" t="s">
        <v>57</v>
      </c>
      <c r="D28" s="46">
        <v>114</v>
      </c>
      <c r="E28" s="46">
        <v>10</v>
      </c>
      <c r="F28" s="46">
        <v>124</v>
      </c>
      <c r="G28" s="46">
        <v>180</v>
      </c>
      <c r="H28" s="46" t="s">
        <v>54</v>
      </c>
      <c r="I28" s="46">
        <v>68.888888888888886</v>
      </c>
      <c r="J28" s="1" t="s">
        <v>7</v>
      </c>
      <c r="K28" s="46">
        <v>68.888888888888886</v>
      </c>
      <c r="L28" s="46">
        <v>2</v>
      </c>
      <c r="M28" s="46">
        <v>2</v>
      </c>
      <c r="N28" s="46">
        <v>2</v>
      </c>
    </row>
    <row r="29" spans="1:14" x14ac:dyDescent="0.2">
      <c r="A29" s="46" t="s">
        <v>49</v>
      </c>
      <c r="B29" s="46">
        <v>2689</v>
      </c>
      <c r="C29" s="46" t="s">
        <v>57</v>
      </c>
      <c r="D29" s="46">
        <v>156</v>
      </c>
      <c r="E29" s="46">
        <v>0</v>
      </c>
      <c r="F29" s="46">
        <v>156</v>
      </c>
      <c r="G29" s="46">
        <v>271</v>
      </c>
      <c r="H29" s="46" t="s">
        <v>54</v>
      </c>
      <c r="I29" s="46">
        <v>57.564575645756456</v>
      </c>
      <c r="J29" s="1" t="s">
        <v>7</v>
      </c>
      <c r="K29" s="46">
        <v>57.564575645756456</v>
      </c>
      <c r="L29" s="46">
        <v>2</v>
      </c>
      <c r="M29" s="46">
        <v>2</v>
      </c>
      <c r="N29" s="46">
        <v>2</v>
      </c>
    </row>
    <row r="30" spans="1:14" x14ac:dyDescent="0.2">
      <c r="A30" s="46" t="s">
        <v>49</v>
      </c>
      <c r="B30" s="46">
        <v>3087</v>
      </c>
      <c r="C30" s="46" t="s">
        <v>58</v>
      </c>
      <c r="D30" s="46">
        <v>168</v>
      </c>
      <c r="E30" s="46">
        <v>0</v>
      </c>
      <c r="F30" s="46">
        <v>168</v>
      </c>
      <c r="G30" s="46">
        <v>276</v>
      </c>
      <c r="H30" s="46" t="s">
        <v>54</v>
      </c>
      <c r="I30" s="46">
        <v>60.869565217391312</v>
      </c>
      <c r="J30" s="1" t="s">
        <v>7</v>
      </c>
      <c r="K30" s="46">
        <v>60.869565217391312</v>
      </c>
      <c r="L30" s="46">
        <v>2</v>
      </c>
      <c r="M30" s="46">
        <v>2</v>
      </c>
      <c r="N30" s="46">
        <v>3</v>
      </c>
    </row>
    <row r="31" spans="1:14" x14ac:dyDescent="0.2">
      <c r="A31" s="46" t="s">
        <v>49</v>
      </c>
      <c r="B31" s="46">
        <v>3690</v>
      </c>
      <c r="C31" s="46" t="s">
        <v>58</v>
      </c>
      <c r="D31" s="46">
        <v>133</v>
      </c>
      <c r="E31" s="46">
        <v>0</v>
      </c>
      <c r="F31" s="46">
        <v>133</v>
      </c>
      <c r="G31" s="46">
        <v>204</v>
      </c>
      <c r="H31" s="46" t="s">
        <v>54</v>
      </c>
      <c r="I31" s="46">
        <v>65.196078431372555</v>
      </c>
      <c r="J31" s="1" t="s">
        <v>7</v>
      </c>
      <c r="K31" s="46">
        <v>65.196078431372555</v>
      </c>
      <c r="L31" s="46">
        <v>2</v>
      </c>
      <c r="M31" s="46">
        <v>2</v>
      </c>
      <c r="N31" s="46">
        <v>3</v>
      </c>
    </row>
    <row r="32" spans="1:14" x14ac:dyDescent="0.2">
      <c r="A32" s="46" t="s">
        <v>49</v>
      </c>
      <c r="B32" s="46">
        <v>1935</v>
      </c>
      <c r="C32" s="46" t="s">
        <v>57</v>
      </c>
      <c r="D32" s="46">
        <v>171</v>
      </c>
      <c r="E32" s="46">
        <v>65</v>
      </c>
      <c r="F32" s="46">
        <v>236</v>
      </c>
      <c r="G32" s="46">
        <v>414</v>
      </c>
      <c r="H32" s="46" t="s">
        <v>55</v>
      </c>
      <c r="I32" s="46">
        <v>57.004830917874393</v>
      </c>
      <c r="J32" s="1" t="s">
        <v>7</v>
      </c>
      <c r="K32" s="46">
        <v>57.004830917874393</v>
      </c>
      <c r="L32" s="46">
        <v>2</v>
      </c>
      <c r="M32" s="46">
        <v>3</v>
      </c>
      <c r="N32" s="46">
        <v>2</v>
      </c>
    </row>
    <row r="33" spans="1:14" x14ac:dyDescent="0.2">
      <c r="A33" s="46" t="s">
        <v>49</v>
      </c>
      <c r="B33" s="46">
        <v>1994</v>
      </c>
      <c r="C33" s="46" t="s">
        <v>57</v>
      </c>
      <c r="D33" s="46">
        <v>204</v>
      </c>
      <c r="E33" s="46">
        <v>216</v>
      </c>
      <c r="F33" s="46">
        <v>420</v>
      </c>
      <c r="G33" s="46">
        <v>715</v>
      </c>
      <c r="H33" s="46" t="s">
        <v>55</v>
      </c>
      <c r="I33" s="46">
        <v>58.74125874125874</v>
      </c>
      <c r="J33" s="1" t="s">
        <v>7</v>
      </c>
      <c r="K33" s="46">
        <v>58.74125874125874</v>
      </c>
      <c r="L33" s="46">
        <v>2</v>
      </c>
      <c r="M33" s="46">
        <v>3</v>
      </c>
      <c r="N33" s="46">
        <v>2</v>
      </c>
    </row>
    <row r="34" spans="1:14" x14ac:dyDescent="0.2">
      <c r="A34" s="46" t="s">
        <v>49</v>
      </c>
      <c r="B34" s="46">
        <v>2023</v>
      </c>
      <c r="C34" s="46" t="s">
        <v>57</v>
      </c>
      <c r="D34" s="46">
        <v>0</v>
      </c>
      <c r="E34" s="46">
        <v>328</v>
      </c>
      <c r="F34" s="46">
        <v>328</v>
      </c>
      <c r="G34" s="46">
        <v>472</v>
      </c>
      <c r="H34" s="46" t="s">
        <v>55</v>
      </c>
      <c r="I34" s="46">
        <v>69.491525423728817</v>
      </c>
      <c r="J34" s="1" t="s">
        <v>7</v>
      </c>
      <c r="K34" s="46">
        <v>69.491525423728817</v>
      </c>
      <c r="L34" s="46">
        <v>2</v>
      </c>
      <c r="M34" s="46">
        <v>3</v>
      </c>
      <c r="N34" s="46">
        <v>2</v>
      </c>
    </row>
    <row r="35" spans="1:14" x14ac:dyDescent="0.2">
      <c r="A35" s="46" t="s">
        <v>49</v>
      </c>
      <c r="B35" s="46">
        <v>2666</v>
      </c>
      <c r="C35" s="46" t="s">
        <v>57</v>
      </c>
      <c r="D35" s="46">
        <v>300</v>
      </c>
      <c r="E35" s="46">
        <v>0</v>
      </c>
      <c r="F35" s="46">
        <v>300</v>
      </c>
      <c r="G35" s="46">
        <v>476</v>
      </c>
      <c r="H35" s="46" t="s">
        <v>55</v>
      </c>
      <c r="I35" s="46">
        <v>63.02521008403361</v>
      </c>
      <c r="J35" s="1" t="s">
        <v>7</v>
      </c>
      <c r="K35" s="46">
        <v>63.02521008403361</v>
      </c>
      <c r="L35" s="46">
        <v>2</v>
      </c>
      <c r="M35" s="46">
        <v>3</v>
      </c>
      <c r="N35" s="46">
        <v>2</v>
      </c>
    </row>
    <row r="36" spans="1:14" x14ac:dyDescent="0.2">
      <c r="A36" s="46" t="s">
        <v>49</v>
      </c>
      <c r="B36" s="46">
        <v>4095</v>
      </c>
      <c r="C36" s="46" t="s">
        <v>58</v>
      </c>
      <c r="D36" s="46">
        <v>308</v>
      </c>
      <c r="E36" s="46">
        <v>0</v>
      </c>
      <c r="F36" s="46">
        <v>308</v>
      </c>
      <c r="G36" s="46">
        <v>570</v>
      </c>
      <c r="H36" s="46" t="s">
        <v>55</v>
      </c>
      <c r="I36" s="46">
        <v>54.035087719298247</v>
      </c>
      <c r="J36" s="1" t="s">
        <v>7</v>
      </c>
      <c r="K36" s="46">
        <v>54.035087719298247</v>
      </c>
      <c r="L36" s="46">
        <v>2</v>
      </c>
      <c r="M36" s="46">
        <v>3</v>
      </c>
      <c r="N36" s="46">
        <v>3</v>
      </c>
    </row>
    <row r="37" spans="1:14" x14ac:dyDescent="0.2">
      <c r="A37" s="46" t="s">
        <v>49</v>
      </c>
      <c r="B37" s="46">
        <v>4169</v>
      </c>
      <c r="C37" s="46" t="s">
        <v>58</v>
      </c>
      <c r="D37" s="46">
        <v>418</v>
      </c>
      <c r="E37" s="46">
        <v>0</v>
      </c>
      <c r="F37" s="46">
        <v>418</v>
      </c>
      <c r="G37" s="46">
        <v>634</v>
      </c>
      <c r="H37" s="46" t="s">
        <v>55</v>
      </c>
      <c r="I37" s="46">
        <v>65.930599369085172</v>
      </c>
      <c r="J37" s="1" t="s">
        <v>7</v>
      </c>
      <c r="K37" s="46">
        <v>65.930599369085172</v>
      </c>
      <c r="L37" s="46">
        <v>2</v>
      </c>
      <c r="M37" s="46">
        <v>3</v>
      </c>
      <c r="N37" s="46">
        <v>3</v>
      </c>
    </row>
    <row r="38" spans="1:14" x14ac:dyDescent="0.2">
      <c r="A38" s="46" t="s">
        <v>49</v>
      </c>
      <c r="B38" s="46">
        <v>2103</v>
      </c>
      <c r="C38" s="46" t="s">
        <v>57</v>
      </c>
      <c r="D38" s="46">
        <v>0</v>
      </c>
      <c r="E38" s="46">
        <v>92</v>
      </c>
      <c r="F38" s="46">
        <v>92</v>
      </c>
      <c r="G38" s="46">
        <v>121</v>
      </c>
      <c r="H38" s="46" t="s">
        <v>53</v>
      </c>
      <c r="I38" s="46">
        <v>76.033057851239676</v>
      </c>
      <c r="J38" s="1" t="s">
        <v>8</v>
      </c>
      <c r="K38" s="46">
        <v>76.033057851239676</v>
      </c>
      <c r="L38" s="46">
        <v>3</v>
      </c>
      <c r="M38" s="46">
        <v>1</v>
      </c>
      <c r="N38" s="46">
        <v>2</v>
      </c>
    </row>
    <row r="39" spans="1:14" x14ac:dyDescent="0.2">
      <c r="A39" s="46" t="s">
        <v>49</v>
      </c>
      <c r="B39" s="46">
        <v>2491</v>
      </c>
      <c r="C39" s="46" t="s">
        <v>57</v>
      </c>
      <c r="D39" s="46">
        <v>0</v>
      </c>
      <c r="E39" s="46">
        <v>70</v>
      </c>
      <c r="F39" s="46">
        <v>70</v>
      </c>
      <c r="G39" s="46">
        <v>88</v>
      </c>
      <c r="H39" s="46" t="s">
        <v>53</v>
      </c>
      <c r="I39" s="46">
        <v>79.545454545454547</v>
      </c>
      <c r="J39" s="1" t="s">
        <v>8</v>
      </c>
      <c r="K39" s="46">
        <v>79.545454545454547</v>
      </c>
      <c r="L39" s="46">
        <v>3</v>
      </c>
      <c r="M39" s="46">
        <v>1</v>
      </c>
      <c r="N39" s="46">
        <v>2</v>
      </c>
    </row>
    <row r="40" spans="1:14" x14ac:dyDescent="0.2">
      <c r="A40" s="46" t="s">
        <v>49</v>
      </c>
      <c r="B40" s="46">
        <v>2630</v>
      </c>
      <c r="C40" s="46" t="s">
        <v>57</v>
      </c>
      <c r="D40" s="46">
        <v>81</v>
      </c>
      <c r="E40" s="46">
        <v>40</v>
      </c>
      <c r="F40" s="46">
        <v>121</v>
      </c>
      <c r="G40" s="46">
        <v>129</v>
      </c>
      <c r="H40" s="46" t="s">
        <v>53</v>
      </c>
      <c r="I40" s="46">
        <v>93.798449612403104</v>
      </c>
      <c r="J40" s="1" t="s">
        <v>8</v>
      </c>
      <c r="K40" s="46">
        <v>93.798449612403104</v>
      </c>
      <c r="L40" s="46">
        <v>3</v>
      </c>
      <c r="M40" s="46">
        <v>1</v>
      </c>
      <c r="N40" s="46">
        <v>2</v>
      </c>
    </row>
    <row r="41" spans="1:14" x14ac:dyDescent="0.2">
      <c r="A41" s="46" t="s">
        <v>49</v>
      </c>
      <c r="B41" s="46">
        <v>2804</v>
      </c>
      <c r="C41" s="46" t="s">
        <v>57</v>
      </c>
      <c r="D41" s="46">
        <v>0</v>
      </c>
      <c r="E41" s="46">
        <v>44</v>
      </c>
      <c r="F41" s="46">
        <v>44</v>
      </c>
      <c r="G41" s="46">
        <v>54</v>
      </c>
      <c r="H41" s="46" t="s">
        <v>53</v>
      </c>
      <c r="I41" s="46">
        <v>81.481481481481481</v>
      </c>
      <c r="J41" s="1" t="s">
        <v>8</v>
      </c>
      <c r="K41" s="46">
        <v>81.481481481481481</v>
      </c>
      <c r="L41" s="46">
        <v>3</v>
      </c>
      <c r="M41" s="46">
        <v>1</v>
      </c>
      <c r="N41" s="46">
        <v>2</v>
      </c>
    </row>
    <row r="42" spans="1:14" x14ac:dyDescent="0.2">
      <c r="A42" s="46" t="s">
        <v>49</v>
      </c>
      <c r="B42" s="46">
        <v>3271</v>
      </c>
      <c r="C42" s="46" t="s">
        <v>58</v>
      </c>
      <c r="D42" s="46">
        <v>0</v>
      </c>
      <c r="E42" s="46">
        <v>72</v>
      </c>
      <c r="F42" s="46">
        <v>72</v>
      </c>
      <c r="G42" s="46">
        <v>76</v>
      </c>
      <c r="H42" s="46" t="s">
        <v>53</v>
      </c>
      <c r="I42" s="46">
        <v>94.73684210526315</v>
      </c>
      <c r="J42" s="1" t="s">
        <v>8</v>
      </c>
      <c r="K42" s="46">
        <v>94.73684210526315</v>
      </c>
      <c r="L42" s="46">
        <v>3</v>
      </c>
      <c r="M42" s="46">
        <v>1</v>
      </c>
      <c r="N42" s="46">
        <v>3</v>
      </c>
    </row>
    <row r="43" spans="1:14" x14ac:dyDescent="0.2">
      <c r="A43" s="46" t="s">
        <v>49</v>
      </c>
      <c r="B43" s="46">
        <v>1766</v>
      </c>
      <c r="C43" s="46" t="s">
        <v>57</v>
      </c>
      <c r="D43" s="46">
        <v>192</v>
      </c>
      <c r="E43" s="46">
        <v>32</v>
      </c>
      <c r="F43" s="46">
        <v>224</v>
      </c>
      <c r="G43" s="46">
        <v>285</v>
      </c>
      <c r="H43" s="46" t="s">
        <v>54</v>
      </c>
      <c r="I43" s="46">
        <v>78.596491228070178</v>
      </c>
      <c r="J43" s="1" t="s">
        <v>8</v>
      </c>
      <c r="K43" s="46">
        <v>78.596491228070178</v>
      </c>
      <c r="L43" s="46">
        <v>3</v>
      </c>
      <c r="M43" s="46">
        <v>2</v>
      </c>
      <c r="N43" s="46">
        <v>2</v>
      </c>
    </row>
    <row r="44" spans="1:14" x14ac:dyDescent="0.2">
      <c r="A44" s="46" t="s">
        <v>49</v>
      </c>
      <c r="B44" s="46">
        <v>2014</v>
      </c>
      <c r="C44" s="46" t="s">
        <v>57</v>
      </c>
      <c r="D44" s="46">
        <v>0</v>
      </c>
      <c r="E44" s="46">
        <v>222</v>
      </c>
      <c r="F44" s="46">
        <v>222</v>
      </c>
      <c r="G44" s="46">
        <v>238</v>
      </c>
      <c r="H44" s="46" t="s">
        <v>54</v>
      </c>
      <c r="I44" s="46">
        <v>93.277310924369743</v>
      </c>
      <c r="J44" s="1" t="s">
        <v>8</v>
      </c>
      <c r="K44" s="46">
        <v>93.277310924369743</v>
      </c>
      <c r="L44" s="46">
        <v>3</v>
      </c>
      <c r="M44" s="46">
        <v>2</v>
      </c>
      <c r="N44" s="46">
        <v>2</v>
      </c>
    </row>
    <row r="45" spans="1:14" x14ac:dyDescent="0.2">
      <c r="A45" s="46" t="s">
        <v>49</v>
      </c>
      <c r="B45" s="46">
        <v>2330</v>
      </c>
      <c r="C45" s="46" t="s">
        <v>57</v>
      </c>
      <c r="D45" s="46">
        <v>191</v>
      </c>
      <c r="E45" s="46">
        <v>20</v>
      </c>
      <c r="F45" s="46">
        <v>211</v>
      </c>
      <c r="G45" s="46">
        <v>215</v>
      </c>
      <c r="H45" s="46" t="s">
        <v>54</v>
      </c>
      <c r="I45" s="46">
        <v>98.139534883720927</v>
      </c>
      <c r="J45" s="1" t="s">
        <v>8</v>
      </c>
      <c r="K45" s="46">
        <v>98.139534883720927</v>
      </c>
      <c r="L45" s="46">
        <v>3</v>
      </c>
      <c r="M45" s="46">
        <v>2</v>
      </c>
      <c r="N45" s="46">
        <v>2</v>
      </c>
    </row>
    <row r="46" spans="1:14" x14ac:dyDescent="0.2">
      <c r="A46" s="46" t="s">
        <v>49</v>
      </c>
      <c r="B46" s="46">
        <v>3020</v>
      </c>
      <c r="C46" s="46" t="s">
        <v>58</v>
      </c>
      <c r="D46" s="46">
        <v>228</v>
      </c>
      <c r="E46" s="46">
        <v>0</v>
      </c>
      <c r="F46" s="46">
        <v>228</v>
      </c>
      <c r="G46" s="46">
        <v>288</v>
      </c>
      <c r="H46" s="46" t="s">
        <v>54</v>
      </c>
      <c r="I46" s="46">
        <v>79.166666666666657</v>
      </c>
      <c r="J46" s="1" t="s">
        <v>8</v>
      </c>
      <c r="K46" s="46">
        <v>79.166666666666657</v>
      </c>
      <c r="L46" s="46">
        <v>3</v>
      </c>
      <c r="M46" s="46">
        <v>2</v>
      </c>
      <c r="N46" s="46">
        <v>3</v>
      </c>
    </row>
    <row r="47" spans="1:14" x14ac:dyDescent="0.2">
      <c r="A47" s="46" t="s">
        <v>49</v>
      </c>
      <c r="B47" s="46">
        <v>1614</v>
      </c>
      <c r="C47" s="46" t="s">
        <v>57</v>
      </c>
      <c r="D47" s="46">
        <v>295</v>
      </c>
      <c r="E47" s="46">
        <v>110</v>
      </c>
      <c r="F47" s="46">
        <v>405</v>
      </c>
      <c r="G47" s="46">
        <v>517</v>
      </c>
      <c r="H47" s="46" t="s">
        <v>55</v>
      </c>
      <c r="I47" s="46">
        <v>78.336557059961322</v>
      </c>
      <c r="J47" s="1" t="s">
        <v>8</v>
      </c>
      <c r="K47" s="46">
        <v>78.336557059961322</v>
      </c>
      <c r="L47" s="46">
        <v>3</v>
      </c>
      <c r="M47" s="46">
        <v>3</v>
      </c>
      <c r="N47" s="46">
        <v>2</v>
      </c>
    </row>
    <row r="48" spans="1:14" x14ac:dyDescent="0.2">
      <c r="A48" s="46" t="s">
        <v>49</v>
      </c>
      <c r="B48" s="46">
        <v>1688</v>
      </c>
      <c r="C48" s="46" t="s">
        <v>57</v>
      </c>
      <c r="D48" s="46">
        <v>210</v>
      </c>
      <c r="E48" s="46">
        <v>86</v>
      </c>
      <c r="F48" s="46">
        <v>296</v>
      </c>
      <c r="G48" s="46">
        <v>360</v>
      </c>
      <c r="H48" s="46" t="s">
        <v>55</v>
      </c>
      <c r="I48" s="46">
        <v>82.222222222222214</v>
      </c>
      <c r="J48" s="1" t="s">
        <v>8</v>
      </c>
      <c r="K48" s="46">
        <v>82.222222222222214</v>
      </c>
      <c r="L48" s="46">
        <v>3</v>
      </c>
      <c r="M48" s="46">
        <v>3</v>
      </c>
      <c r="N48" s="46">
        <v>2</v>
      </c>
    </row>
    <row r="49" spans="1:14" x14ac:dyDescent="0.2">
      <c r="A49" s="46" t="s">
        <v>49</v>
      </c>
      <c r="B49" s="46">
        <v>2088</v>
      </c>
      <c r="C49" s="46" t="s">
        <v>57</v>
      </c>
      <c r="D49" s="46">
        <v>0</v>
      </c>
      <c r="E49" s="46">
        <v>273</v>
      </c>
      <c r="F49" s="46">
        <v>273</v>
      </c>
      <c r="G49" s="46">
        <v>333</v>
      </c>
      <c r="H49" s="46" t="s">
        <v>55</v>
      </c>
      <c r="I49" s="46">
        <v>81.981981981981974</v>
      </c>
      <c r="J49" s="1" t="s">
        <v>8</v>
      </c>
      <c r="K49" s="46">
        <v>81.981981981981974</v>
      </c>
      <c r="L49" s="46">
        <v>3</v>
      </c>
      <c r="M49" s="46">
        <v>3</v>
      </c>
      <c r="N49" s="46">
        <v>2</v>
      </c>
    </row>
    <row r="50" spans="1:14" x14ac:dyDescent="0.2">
      <c r="A50" s="46" t="s">
        <v>49</v>
      </c>
      <c r="B50" s="46">
        <v>2912</v>
      </c>
      <c r="C50" s="46" t="s">
        <v>57</v>
      </c>
      <c r="D50" s="46">
        <v>238</v>
      </c>
      <c r="E50" s="46">
        <v>0</v>
      </c>
      <c r="F50" s="46">
        <v>238</v>
      </c>
      <c r="G50" s="46">
        <v>312</v>
      </c>
      <c r="H50" s="46" t="s">
        <v>55</v>
      </c>
      <c r="I50" s="46">
        <v>76.28205128205127</v>
      </c>
      <c r="J50" s="1" t="s">
        <v>8</v>
      </c>
      <c r="K50" s="46">
        <v>76.28205128205127</v>
      </c>
      <c r="L50" s="46">
        <v>3</v>
      </c>
      <c r="M50" s="46">
        <v>3</v>
      </c>
      <c r="N50" s="46">
        <v>2</v>
      </c>
    </row>
    <row r="51" spans="1:14" x14ac:dyDescent="0.2">
      <c r="A51" s="46" t="s">
        <v>49</v>
      </c>
      <c r="B51" s="46">
        <v>4385</v>
      </c>
      <c r="C51" s="46" t="s">
        <v>58</v>
      </c>
      <c r="D51" s="46">
        <v>452</v>
      </c>
      <c r="E51" s="46">
        <v>0</v>
      </c>
      <c r="F51" s="46">
        <v>452</v>
      </c>
      <c r="G51" s="46">
        <v>592</v>
      </c>
      <c r="H51" s="46" t="s">
        <v>55</v>
      </c>
      <c r="I51" s="46">
        <v>76.351351351351354</v>
      </c>
      <c r="J51" s="1" t="s">
        <v>8</v>
      </c>
      <c r="K51" s="46">
        <v>76.351351351351354</v>
      </c>
      <c r="L51" s="46">
        <v>3</v>
      </c>
      <c r="M51" s="46">
        <v>3</v>
      </c>
      <c r="N51" s="46">
        <v>3</v>
      </c>
    </row>
    <row r="52" spans="1:14" x14ac:dyDescent="0.2">
      <c r="A52" s="46" t="s">
        <v>49</v>
      </c>
      <c r="B52" s="46">
        <v>1401</v>
      </c>
      <c r="C52" s="46" t="s">
        <v>56</v>
      </c>
      <c r="D52" s="46">
        <v>16</v>
      </c>
      <c r="E52" s="46">
        <v>51</v>
      </c>
      <c r="F52" s="46">
        <v>67</v>
      </c>
      <c r="G52" s="46">
        <v>39</v>
      </c>
      <c r="H52" s="46" t="s">
        <v>53</v>
      </c>
      <c r="I52" s="46">
        <v>171.7948717948718</v>
      </c>
      <c r="J52" s="2">
        <v>1</v>
      </c>
      <c r="K52" s="46">
        <v>100</v>
      </c>
      <c r="L52" s="46">
        <v>4</v>
      </c>
      <c r="M52" s="46">
        <v>1</v>
      </c>
      <c r="N52" s="46">
        <v>1</v>
      </c>
    </row>
    <row r="53" spans="1:14" x14ac:dyDescent="0.2">
      <c r="A53" s="46" t="s">
        <v>49</v>
      </c>
      <c r="B53" s="46">
        <v>1497</v>
      </c>
      <c r="C53" s="46" t="s">
        <v>56</v>
      </c>
      <c r="D53" s="46">
        <v>29</v>
      </c>
      <c r="E53" s="46">
        <v>0</v>
      </c>
      <c r="F53" s="46">
        <v>29</v>
      </c>
      <c r="G53" s="46">
        <v>29</v>
      </c>
      <c r="H53" s="46" t="s">
        <v>53</v>
      </c>
      <c r="I53" s="46">
        <v>100</v>
      </c>
      <c r="J53" s="2">
        <v>1</v>
      </c>
      <c r="K53" s="46">
        <v>100</v>
      </c>
      <c r="L53" s="46">
        <v>4</v>
      </c>
      <c r="M53" s="46">
        <v>1</v>
      </c>
      <c r="N53" s="46">
        <v>1</v>
      </c>
    </row>
    <row r="54" spans="1:14" x14ac:dyDescent="0.2">
      <c r="A54" s="46" t="s">
        <v>49</v>
      </c>
      <c r="B54" s="46">
        <v>1545</v>
      </c>
      <c r="C54" s="46" t="s">
        <v>57</v>
      </c>
      <c r="D54" s="46">
        <v>83</v>
      </c>
      <c r="E54" s="46">
        <v>5</v>
      </c>
      <c r="F54" s="46">
        <v>88</v>
      </c>
      <c r="G54" s="46">
        <v>88</v>
      </c>
      <c r="H54" s="46" t="s">
        <v>53</v>
      </c>
      <c r="I54" s="46">
        <v>100</v>
      </c>
      <c r="J54" s="2">
        <v>1</v>
      </c>
      <c r="K54" s="46">
        <v>100</v>
      </c>
      <c r="L54" s="46">
        <v>4</v>
      </c>
      <c r="M54" s="46">
        <v>1</v>
      </c>
      <c r="N54" s="46">
        <v>2</v>
      </c>
    </row>
    <row r="55" spans="1:14" x14ac:dyDescent="0.2">
      <c r="A55" s="46" t="s">
        <v>49</v>
      </c>
      <c r="B55" s="46">
        <v>1593</v>
      </c>
      <c r="C55" s="46" t="s">
        <v>57</v>
      </c>
      <c r="D55" s="46">
        <v>0</v>
      </c>
      <c r="E55" s="46">
        <v>86</v>
      </c>
      <c r="F55" s="46">
        <v>86</v>
      </c>
      <c r="G55" s="46">
        <v>86</v>
      </c>
      <c r="H55" s="46" t="s">
        <v>53</v>
      </c>
      <c r="I55" s="46">
        <v>100</v>
      </c>
      <c r="J55" s="2">
        <v>1</v>
      </c>
      <c r="K55" s="46">
        <v>100</v>
      </c>
      <c r="L55" s="46">
        <v>4</v>
      </c>
      <c r="M55" s="46">
        <v>1</v>
      </c>
      <c r="N55" s="46">
        <v>2</v>
      </c>
    </row>
    <row r="56" spans="1:14" x14ac:dyDescent="0.2">
      <c r="A56" s="46" t="s">
        <v>49</v>
      </c>
      <c r="B56" s="46">
        <v>1908</v>
      </c>
      <c r="C56" s="46" t="s">
        <v>57</v>
      </c>
      <c r="D56" s="46">
        <v>0</v>
      </c>
      <c r="E56" s="46">
        <v>86.5</v>
      </c>
      <c r="F56" s="46">
        <v>86.5</v>
      </c>
      <c r="G56" s="46">
        <v>72</v>
      </c>
      <c r="H56" s="46" t="s">
        <v>53</v>
      </c>
      <c r="I56" s="46">
        <v>120.13888888888889</v>
      </c>
      <c r="J56" s="2">
        <v>1</v>
      </c>
      <c r="K56" s="46">
        <v>100</v>
      </c>
      <c r="L56" s="46">
        <v>4</v>
      </c>
      <c r="M56" s="46">
        <v>1</v>
      </c>
      <c r="N56" s="46">
        <v>2</v>
      </c>
    </row>
    <row r="57" spans="1:14" x14ac:dyDescent="0.2">
      <c r="A57" s="46" t="s">
        <v>49</v>
      </c>
      <c r="B57" s="46">
        <v>2057</v>
      </c>
      <c r="C57" s="46" t="s">
        <v>57</v>
      </c>
      <c r="D57" s="46">
        <v>0</v>
      </c>
      <c r="E57" s="46">
        <v>257</v>
      </c>
      <c r="F57" s="46">
        <v>257</v>
      </c>
      <c r="G57" s="46">
        <v>72</v>
      </c>
      <c r="H57" s="46" t="s">
        <v>53</v>
      </c>
      <c r="I57" s="46">
        <v>356.94444444444446</v>
      </c>
      <c r="J57" s="2">
        <v>1</v>
      </c>
      <c r="K57" s="46">
        <v>100</v>
      </c>
      <c r="L57" s="46">
        <v>4</v>
      </c>
      <c r="M57" s="46">
        <v>1</v>
      </c>
      <c r="N57" s="46">
        <v>2</v>
      </c>
    </row>
    <row r="58" spans="1:14" x14ac:dyDescent="0.2">
      <c r="A58" s="46" t="s">
        <v>49</v>
      </c>
      <c r="B58" s="46">
        <v>2219</v>
      </c>
      <c r="C58" s="46" t="s">
        <v>57</v>
      </c>
      <c r="D58" s="46">
        <v>77</v>
      </c>
      <c r="E58" s="46">
        <v>35</v>
      </c>
      <c r="F58" s="46">
        <v>112</v>
      </c>
      <c r="G58" s="46">
        <v>112</v>
      </c>
      <c r="H58" s="46" t="s">
        <v>53</v>
      </c>
      <c r="I58" s="46">
        <v>100</v>
      </c>
      <c r="J58" s="2">
        <v>1</v>
      </c>
      <c r="K58" s="46">
        <v>100</v>
      </c>
      <c r="L58" s="46">
        <v>4</v>
      </c>
      <c r="M58" s="46">
        <v>1</v>
      </c>
      <c r="N58" s="46">
        <v>2</v>
      </c>
    </row>
    <row r="59" spans="1:14" x14ac:dyDescent="0.2">
      <c r="A59" s="46" t="s">
        <v>49</v>
      </c>
      <c r="B59" s="46">
        <v>2283</v>
      </c>
      <c r="C59" s="46" t="s">
        <v>57</v>
      </c>
      <c r="D59" s="46">
        <v>0</v>
      </c>
      <c r="E59" s="46">
        <v>124</v>
      </c>
      <c r="F59" s="46">
        <v>124</v>
      </c>
      <c r="G59" s="46">
        <v>124</v>
      </c>
      <c r="H59" s="46" t="s">
        <v>53</v>
      </c>
      <c r="I59" s="46">
        <v>100</v>
      </c>
      <c r="J59" s="2">
        <v>1</v>
      </c>
      <c r="K59" s="46">
        <v>100</v>
      </c>
      <c r="L59" s="46">
        <v>4</v>
      </c>
      <c r="M59" s="46">
        <v>1</v>
      </c>
      <c r="N59" s="46">
        <v>2</v>
      </c>
    </row>
    <row r="60" spans="1:14" x14ac:dyDescent="0.2">
      <c r="A60" s="46" t="s">
        <v>49</v>
      </c>
      <c r="B60" s="46">
        <v>2437</v>
      </c>
      <c r="C60" s="46" t="s">
        <v>57</v>
      </c>
      <c r="D60" s="46">
        <v>0</v>
      </c>
      <c r="E60" s="46">
        <v>173</v>
      </c>
      <c r="F60" s="46">
        <v>173</v>
      </c>
      <c r="G60" s="46">
        <v>114</v>
      </c>
      <c r="H60" s="46" t="s">
        <v>53</v>
      </c>
      <c r="I60" s="46">
        <v>151.75438596491227</v>
      </c>
      <c r="J60" s="2">
        <v>1</v>
      </c>
      <c r="K60" s="46">
        <v>100</v>
      </c>
      <c r="L60" s="46">
        <v>4</v>
      </c>
      <c r="M60" s="46">
        <v>1</v>
      </c>
      <c r="N60" s="46">
        <v>2</v>
      </c>
    </row>
    <row r="61" spans="1:14" x14ac:dyDescent="0.2">
      <c r="A61" s="46" t="s">
        <v>49</v>
      </c>
      <c r="B61" s="46">
        <v>2519</v>
      </c>
      <c r="C61" s="46" t="s">
        <v>57</v>
      </c>
      <c r="D61" s="46">
        <v>60</v>
      </c>
      <c r="E61" s="46">
        <v>17</v>
      </c>
      <c r="F61" s="46">
        <v>77</v>
      </c>
      <c r="G61" s="46">
        <v>54</v>
      </c>
      <c r="H61" s="46" t="s">
        <v>53</v>
      </c>
      <c r="I61" s="46">
        <v>142.59259259259258</v>
      </c>
      <c r="J61" s="2">
        <v>1</v>
      </c>
      <c r="K61" s="46">
        <v>100</v>
      </c>
      <c r="L61" s="46">
        <v>4</v>
      </c>
      <c r="M61" s="46">
        <v>1</v>
      </c>
      <c r="N61" s="46">
        <v>2</v>
      </c>
    </row>
    <row r="62" spans="1:14" x14ac:dyDescent="0.2">
      <c r="A62" s="46" t="s">
        <v>49</v>
      </c>
      <c r="B62" s="46">
        <v>2799</v>
      </c>
      <c r="C62" s="46" t="s">
        <v>57</v>
      </c>
      <c r="D62" s="46">
        <v>0</v>
      </c>
      <c r="E62" s="46">
        <v>42</v>
      </c>
      <c r="F62" s="46">
        <v>42</v>
      </c>
      <c r="G62" s="46">
        <v>39</v>
      </c>
      <c r="H62" s="46" t="s">
        <v>53</v>
      </c>
      <c r="I62" s="46">
        <v>107.69230769230769</v>
      </c>
      <c r="J62" s="2">
        <v>1</v>
      </c>
      <c r="K62" s="46">
        <v>100</v>
      </c>
      <c r="L62" s="46">
        <v>4</v>
      </c>
      <c r="M62" s="46">
        <v>1</v>
      </c>
      <c r="N62" s="46">
        <v>2</v>
      </c>
    </row>
    <row r="63" spans="1:14" x14ac:dyDescent="0.2">
      <c r="A63" s="46" t="s">
        <v>49</v>
      </c>
      <c r="B63" s="46">
        <v>3161</v>
      </c>
      <c r="C63" s="46" t="s">
        <v>58</v>
      </c>
      <c r="D63" s="46">
        <v>163</v>
      </c>
      <c r="E63" s="46">
        <v>0</v>
      </c>
      <c r="F63" s="46">
        <v>163</v>
      </c>
      <c r="G63" s="46">
        <v>148</v>
      </c>
      <c r="H63" s="46" t="s">
        <v>53</v>
      </c>
      <c r="I63" s="46">
        <v>110.13513513513513</v>
      </c>
      <c r="J63" s="2">
        <v>1</v>
      </c>
      <c r="K63" s="46">
        <v>100</v>
      </c>
      <c r="L63" s="46">
        <v>4</v>
      </c>
      <c r="M63" s="46">
        <v>1</v>
      </c>
      <c r="N63" s="46">
        <v>3</v>
      </c>
    </row>
    <row r="64" spans="1:14" x14ac:dyDescent="0.2">
      <c r="A64" s="46" t="s">
        <v>49</v>
      </c>
      <c r="B64" s="46">
        <v>3218</v>
      </c>
      <c r="C64" s="46" t="s">
        <v>58</v>
      </c>
      <c r="D64" s="46">
        <v>73</v>
      </c>
      <c r="E64" s="46">
        <v>0</v>
      </c>
      <c r="F64" s="46">
        <v>73</v>
      </c>
      <c r="G64" s="46">
        <v>73</v>
      </c>
      <c r="H64" s="46" t="s">
        <v>53</v>
      </c>
      <c r="I64" s="46">
        <v>100</v>
      </c>
      <c r="J64" s="2">
        <v>1</v>
      </c>
      <c r="K64" s="46">
        <v>100</v>
      </c>
      <c r="L64" s="46">
        <v>4</v>
      </c>
      <c r="M64" s="46">
        <v>1</v>
      </c>
      <c r="N64" s="46">
        <v>3</v>
      </c>
    </row>
    <row r="65" spans="1:14" x14ac:dyDescent="0.2">
      <c r="A65" s="46" t="s">
        <v>49</v>
      </c>
      <c r="B65" s="46">
        <v>3382</v>
      </c>
      <c r="C65" s="46" t="s">
        <v>58</v>
      </c>
      <c r="D65" s="46">
        <v>0</v>
      </c>
      <c r="E65" s="46">
        <v>84</v>
      </c>
      <c r="F65" s="46">
        <v>84</v>
      </c>
      <c r="G65" s="46">
        <v>78</v>
      </c>
      <c r="H65" s="46" t="s">
        <v>53</v>
      </c>
      <c r="I65" s="46">
        <v>107.69230769230769</v>
      </c>
      <c r="J65" s="2">
        <v>1</v>
      </c>
      <c r="K65" s="46">
        <v>100</v>
      </c>
      <c r="L65" s="46">
        <v>4</v>
      </c>
      <c r="M65" s="46">
        <v>1</v>
      </c>
      <c r="N65" s="46">
        <v>3</v>
      </c>
    </row>
    <row r="66" spans="1:14" x14ac:dyDescent="0.2">
      <c r="A66" s="46" t="s">
        <v>49</v>
      </c>
      <c r="B66" s="46">
        <v>3602</v>
      </c>
      <c r="C66" s="46" t="s">
        <v>58</v>
      </c>
      <c r="D66" s="46">
        <v>280</v>
      </c>
      <c r="E66" s="46">
        <v>0</v>
      </c>
      <c r="F66" s="46">
        <v>280</v>
      </c>
      <c r="G66" s="46">
        <v>144</v>
      </c>
      <c r="H66" s="46" t="s">
        <v>53</v>
      </c>
      <c r="I66" s="46">
        <v>194.44444444444443</v>
      </c>
      <c r="J66" s="2">
        <v>1</v>
      </c>
      <c r="K66" s="46">
        <v>100</v>
      </c>
      <c r="L66" s="46">
        <v>4</v>
      </c>
      <c r="M66" s="46">
        <v>1</v>
      </c>
      <c r="N66" s="46">
        <v>3</v>
      </c>
    </row>
    <row r="67" spans="1:14" x14ac:dyDescent="0.2">
      <c r="A67" s="46" t="s">
        <v>49</v>
      </c>
      <c r="B67" s="46">
        <v>3810</v>
      </c>
      <c r="C67" s="46" t="s">
        <v>58</v>
      </c>
      <c r="D67" s="46">
        <v>146</v>
      </c>
      <c r="E67" s="46">
        <v>0</v>
      </c>
      <c r="F67" s="46">
        <v>146</v>
      </c>
      <c r="G67" s="46">
        <v>146</v>
      </c>
      <c r="H67" s="46" t="s">
        <v>53</v>
      </c>
      <c r="I67" s="46">
        <v>100</v>
      </c>
      <c r="J67" s="2">
        <v>1</v>
      </c>
      <c r="K67" s="46">
        <v>100</v>
      </c>
      <c r="L67" s="46">
        <v>4</v>
      </c>
      <c r="M67" s="46">
        <v>1</v>
      </c>
      <c r="N67" s="46">
        <v>3</v>
      </c>
    </row>
    <row r="68" spans="1:14" x14ac:dyDescent="0.2">
      <c r="A68" s="46" t="s">
        <v>49</v>
      </c>
      <c r="B68" s="46">
        <v>1697</v>
      </c>
      <c r="C68" s="46" t="s">
        <v>57</v>
      </c>
      <c r="D68" s="46">
        <v>235</v>
      </c>
      <c r="E68" s="46">
        <v>43</v>
      </c>
      <c r="F68" s="46">
        <v>278</v>
      </c>
      <c r="G68" s="46">
        <v>273</v>
      </c>
      <c r="H68" s="46" t="s">
        <v>54</v>
      </c>
      <c r="I68" s="46">
        <v>101.83150183150182</v>
      </c>
      <c r="J68" s="2">
        <v>1</v>
      </c>
      <c r="K68" s="46">
        <v>100</v>
      </c>
      <c r="L68" s="46">
        <v>4</v>
      </c>
      <c r="M68" s="46">
        <v>2</v>
      </c>
      <c r="N68" s="46">
        <v>2</v>
      </c>
    </row>
    <row r="69" spans="1:14" x14ac:dyDescent="0.2">
      <c r="A69" s="46" t="s">
        <v>49</v>
      </c>
      <c r="B69" s="46">
        <v>1846</v>
      </c>
      <c r="C69" s="46" t="s">
        <v>57</v>
      </c>
      <c r="D69" s="46">
        <v>0</v>
      </c>
      <c r="E69" s="46">
        <v>188</v>
      </c>
      <c r="F69" s="46">
        <v>188</v>
      </c>
      <c r="G69" s="46">
        <v>179</v>
      </c>
      <c r="H69" s="46" t="s">
        <v>54</v>
      </c>
      <c r="I69" s="46">
        <v>105.02793296089385</v>
      </c>
      <c r="J69" s="2">
        <v>1</v>
      </c>
      <c r="K69" s="46">
        <v>100</v>
      </c>
      <c r="L69" s="46">
        <v>4</v>
      </c>
      <c r="M69" s="46">
        <v>2</v>
      </c>
      <c r="N69" s="46">
        <v>2</v>
      </c>
    </row>
    <row r="70" spans="1:14" x14ac:dyDescent="0.2">
      <c r="A70" s="46" t="s">
        <v>49</v>
      </c>
      <c r="B70" s="46">
        <v>1953</v>
      </c>
      <c r="C70" s="46" t="s">
        <v>57</v>
      </c>
      <c r="D70" s="46">
        <v>0</v>
      </c>
      <c r="E70" s="46">
        <v>260</v>
      </c>
      <c r="F70" s="46">
        <v>260</v>
      </c>
      <c r="G70" s="46">
        <v>176</v>
      </c>
      <c r="H70" s="46" t="s">
        <v>54</v>
      </c>
      <c r="I70" s="46">
        <v>147.72727272727272</v>
      </c>
      <c r="J70" s="2">
        <v>1</v>
      </c>
      <c r="K70" s="46">
        <v>100</v>
      </c>
      <c r="L70" s="46">
        <v>4</v>
      </c>
      <c r="M70" s="46">
        <v>2</v>
      </c>
      <c r="N70" s="46">
        <v>2</v>
      </c>
    </row>
    <row r="71" spans="1:14" x14ac:dyDescent="0.2">
      <c r="A71" s="46" t="s">
        <v>49</v>
      </c>
      <c r="B71" s="46">
        <v>1989</v>
      </c>
      <c r="C71" s="46" t="s">
        <v>57</v>
      </c>
      <c r="D71" s="46">
        <v>0</v>
      </c>
      <c r="E71" s="46">
        <v>288</v>
      </c>
      <c r="F71" s="46">
        <v>288</v>
      </c>
      <c r="G71" s="46">
        <v>288</v>
      </c>
      <c r="H71" s="46" t="s">
        <v>54</v>
      </c>
      <c r="I71" s="46">
        <v>100</v>
      </c>
      <c r="J71" s="2">
        <v>1</v>
      </c>
      <c r="K71" s="46">
        <v>100</v>
      </c>
      <c r="L71" s="46">
        <v>4</v>
      </c>
      <c r="M71" s="46">
        <v>2</v>
      </c>
      <c r="N71" s="46">
        <v>2</v>
      </c>
    </row>
    <row r="72" spans="1:14" x14ac:dyDescent="0.2">
      <c r="A72" s="46" t="s">
        <v>49</v>
      </c>
      <c r="B72" s="46">
        <v>1998</v>
      </c>
      <c r="C72" s="46" t="s">
        <v>57</v>
      </c>
      <c r="D72" s="46">
        <v>0</v>
      </c>
      <c r="E72" s="46">
        <v>208</v>
      </c>
      <c r="F72" s="46">
        <v>208</v>
      </c>
      <c r="G72" s="46">
        <v>208</v>
      </c>
      <c r="H72" s="46" t="s">
        <v>54</v>
      </c>
      <c r="I72" s="46">
        <v>100</v>
      </c>
      <c r="J72" s="2">
        <v>1</v>
      </c>
      <c r="K72" s="46">
        <v>100</v>
      </c>
      <c r="L72" s="46">
        <v>4</v>
      </c>
      <c r="M72" s="46">
        <v>2</v>
      </c>
      <c r="N72" s="46">
        <v>2</v>
      </c>
    </row>
    <row r="73" spans="1:14" x14ac:dyDescent="0.2">
      <c r="A73" s="46" t="s">
        <v>49</v>
      </c>
      <c r="B73" s="46">
        <v>2036</v>
      </c>
      <c r="C73" s="46" t="s">
        <v>57</v>
      </c>
      <c r="D73" s="46">
        <v>0</v>
      </c>
      <c r="E73" s="46">
        <v>251</v>
      </c>
      <c r="F73" s="46">
        <v>251</v>
      </c>
      <c r="G73" s="46">
        <v>251</v>
      </c>
      <c r="H73" s="46" t="s">
        <v>54</v>
      </c>
      <c r="I73" s="46">
        <v>100</v>
      </c>
      <c r="J73" s="2">
        <v>1</v>
      </c>
      <c r="K73" s="46">
        <v>100</v>
      </c>
      <c r="L73" s="46">
        <v>4</v>
      </c>
      <c r="M73" s="46">
        <v>2</v>
      </c>
      <c r="N73" s="46">
        <v>2</v>
      </c>
    </row>
    <row r="74" spans="1:14" x14ac:dyDescent="0.2">
      <c r="A74" s="46" t="s">
        <v>49</v>
      </c>
      <c r="B74" s="46">
        <v>2238</v>
      </c>
      <c r="C74" s="46" t="s">
        <v>57</v>
      </c>
      <c r="D74" s="46">
        <v>0</v>
      </c>
      <c r="E74" s="46">
        <v>171</v>
      </c>
      <c r="F74" s="46">
        <v>171</v>
      </c>
      <c r="G74" s="46">
        <v>171</v>
      </c>
      <c r="H74" s="46" t="s">
        <v>54</v>
      </c>
      <c r="I74" s="46">
        <v>100</v>
      </c>
      <c r="J74" s="2">
        <v>1</v>
      </c>
      <c r="K74" s="46">
        <v>100</v>
      </c>
      <c r="L74" s="46">
        <v>4</v>
      </c>
      <c r="M74" s="46">
        <v>2</v>
      </c>
      <c r="N74" s="46">
        <v>2</v>
      </c>
    </row>
    <row r="75" spans="1:14" x14ac:dyDescent="0.2">
      <c r="A75" s="46" t="s">
        <v>49</v>
      </c>
      <c r="B75" s="46">
        <v>2695</v>
      </c>
      <c r="C75" s="46" t="s">
        <v>57</v>
      </c>
      <c r="D75" s="46">
        <v>0</v>
      </c>
      <c r="E75" s="46">
        <v>240</v>
      </c>
      <c r="F75" s="46">
        <v>240</v>
      </c>
      <c r="G75" s="46">
        <v>153</v>
      </c>
      <c r="H75" s="46" t="s">
        <v>54</v>
      </c>
      <c r="I75" s="46">
        <v>156.86274509803923</v>
      </c>
      <c r="J75" s="2">
        <v>1</v>
      </c>
      <c r="K75" s="46">
        <v>100</v>
      </c>
      <c r="L75" s="46">
        <v>4</v>
      </c>
      <c r="M75" s="46">
        <v>2</v>
      </c>
      <c r="N75" s="46">
        <v>2</v>
      </c>
    </row>
    <row r="76" spans="1:14" x14ac:dyDescent="0.2">
      <c r="A76" s="46" t="s">
        <v>49</v>
      </c>
      <c r="B76" s="46">
        <v>2756</v>
      </c>
      <c r="C76" s="46" t="s">
        <v>57</v>
      </c>
      <c r="D76" s="46">
        <v>0</v>
      </c>
      <c r="E76" s="46">
        <v>361</v>
      </c>
      <c r="F76" s="46">
        <v>361</v>
      </c>
      <c r="G76" s="46">
        <v>278</v>
      </c>
      <c r="H76" s="46" t="s">
        <v>54</v>
      </c>
      <c r="I76" s="46">
        <v>129.85611510791367</v>
      </c>
      <c r="J76" s="2">
        <v>1</v>
      </c>
      <c r="K76" s="46">
        <v>100</v>
      </c>
      <c r="L76" s="46">
        <v>4</v>
      </c>
      <c r="M76" s="46">
        <v>2</v>
      </c>
      <c r="N76" s="46">
        <v>2</v>
      </c>
    </row>
    <row r="77" spans="1:14" x14ac:dyDescent="0.2">
      <c r="A77" s="46" t="s">
        <v>49</v>
      </c>
      <c r="B77" s="46">
        <v>2905</v>
      </c>
      <c r="C77" s="46" t="s">
        <v>57</v>
      </c>
      <c r="D77" s="46">
        <v>186</v>
      </c>
      <c r="E77" s="46">
        <v>111</v>
      </c>
      <c r="F77" s="46">
        <v>297</v>
      </c>
      <c r="G77" s="46">
        <v>190</v>
      </c>
      <c r="H77" s="46" t="s">
        <v>54</v>
      </c>
      <c r="I77" s="46">
        <v>156.31578947368422</v>
      </c>
      <c r="J77" s="2">
        <v>1</v>
      </c>
      <c r="K77" s="46">
        <v>100</v>
      </c>
      <c r="L77" s="46">
        <v>4</v>
      </c>
      <c r="M77" s="46">
        <v>2</v>
      </c>
      <c r="N77" s="46">
        <v>2</v>
      </c>
    </row>
    <row r="78" spans="1:14" x14ac:dyDescent="0.2">
      <c r="A78" s="46" t="s">
        <v>49</v>
      </c>
      <c r="B78" s="46">
        <v>3054</v>
      </c>
      <c r="C78" s="46" t="s">
        <v>58</v>
      </c>
      <c r="D78" s="46">
        <v>177</v>
      </c>
      <c r="E78" s="46">
        <v>97</v>
      </c>
      <c r="F78" s="46">
        <v>274</v>
      </c>
      <c r="G78" s="46">
        <v>169</v>
      </c>
      <c r="H78" s="46" t="s">
        <v>54</v>
      </c>
      <c r="I78" s="46">
        <v>162.1301775147929</v>
      </c>
      <c r="J78" s="2">
        <v>1</v>
      </c>
      <c r="K78" s="46">
        <v>100</v>
      </c>
      <c r="L78" s="46">
        <v>4</v>
      </c>
      <c r="M78" s="46">
        <v>2</v>
      </c>
      <c r="N78" s="46">
        <v>3</v>
      </c>
    </row>
    <row r="79" spans="1:14" x14ac:dyDescent="0.2">
      <c r="A79" s="46" t="s">
        <v>49</v>
      </c>
      <c r="B79" s="46">
        <v>3055</v>
      </c>
      <c r="C79" s="46" t="s">
        <v>58</v>
      </c>
      <c r="D79" s="46">
        <v>0</v>
      </c>
      <c r="E79" s="46">
        <v>199</v>
      </c>
      <c r="F79" s="46">
        <v>199</v>
      </c>
      <c r="G79" s="46">
        <v>184</v>
      </c>
      <c r="H79" s="46" t="s">
        <v>54</v>
      </c>
      <c r="I79" s="46">
        <v>108.15217391304348</v>
      </c>
      <c r="J79" s="2">
        <v>1</v>
      </c>
      <c r="K79" s="46">
        <v>100</v>
      </c>
      <c r="L79" s="46">
        <v>4</v>
      </c>
      <c r="M79" s="46">
        <v>2</v>
      </c>
      <c r="N79" s="46">
        <v>3</v>
      </c>
    </row>
    <row r="80" spans="1:14" x14ac:dyDescent="0.2">
      <c r="A80" s="46" t="s">
        <v>49</v>
      </c>
      <c r="B80" s="46">
        <v>3220</v>
      </c>
      <c r="C80" s="46" t="s">
        <v>58</v>
      </c>
      <c r="D80" s="46">
        <v>0</v>
      </c>
      <c r="E80" s="46">
        <v>214</v>
      </c>
      <c r="F80" s="46">
        <v>214</v>
      </c>
      <c r="G80" s="46">
        <v>185</v>
      </c>
      <c r="H80" s="46" t="s">
        <v>54</v>
      </c>
      <c r="I80" s="46">
        <v>115.67567567567568</v>
      </c>
      <c r="J80" s="2">
        <v>1</v>
      </c>
      <c r="K80" s="46">
        <v>100</v>
      </c>
      <c r="L80" s="46">
        <v>4</v>
      </c>
      <c r="M80" s="46">
        <v>2</v>
      </c>
      <c r="N80" s="46">
        <v>3</v>
      </c>
    </row>
    <row r="81" spans="1:14" x14ac:dyDescent="0.2">
      <c r="A81" s="46" t="s">
        <v>49</v>
      </c>
      <c r="B81" s="46">
        <v>3771</v>
      </c>
      <c r="C81" s="46" t="s">
        <v>58</v>
      </c>
      <c r="D81" s="46">
        <v>177</v>
      </c>
      <c r="E81" s="46">
        <v>0</v>
      </c>
      <c r="F81" s="46">
        <v>177</v>
      </c>
      <c r="G81" s="46">
        <v>177</v>
      </c>
      <c r="H81" s="46" t="s">
        <v>54</v>
      </c>
      <c r="I81" s="46">
        <v>100</v>
      </c>
      <c r="J81" s="2">
        <v>1</v>
      </c>
      <c r="K81" s="46">
        <v>100</v>
      </c>
      <c r="L81" s="46">
        <v>4</v>
      </c>
      <c r="M81" s="46">
        <v>2</v>
      </c>
      <c r="N81" s="46">
        <v>3</v>
      </c>
    </row>
    <row r="82" spans="1:14" x14ac:dyDescent="0.2">
      <c r="A82" s="46" t="s">
        <v>49</v>
      </c>
      <c r="B82" s="46">
        <v>3834</v>
      </c>
      <c r="C82" s="46" t="s">
        <v>58</v>
      </c>
      <c r="D82" s="46">
        <v>371</v>
      </c>
      <c r="E82" s="46">
        <v>0</v>
      </c>
      <c r="F82" s="46">
        <v>371</v>
      </c>
      <c r="G82" s="46">
        <v>371</v>
      </c>
      <c r="H82" s="46" t="s">
        <v>55</v>
      </c>
      <c r="I82" s="46">
        <v>100</v>
      </c>
      <c r="J82" s="2">
        <v>1</v>
      </c>
      <c r="K82" s="46">
        <v>100</v>
      </c>
      <c r="L82" s="46">
        <v>4</v>
      </c>
      <c r="M82" s="46">
        <v>3</v>
      </c>
      <c r="N82" s="46">
        <v>3</v>
      </c>
    </row>
  </sheetData>
  <sortState xmlns:xlrd2="http://schemas.microsoft.com/office/spreadsheetml/2017/richdata2" ref="A2:M82">
    <sortCondition ref="K2:K82"/>
    <sortCondition ref="L2:L82"/>
    <sortCondition ref="M2:M8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9"/>
  <sheetViews>
    <sheetView workbookViewId="0">
      <selection activeCell="M56" sqref="M56"/>
    </sheetView>
  </sheetViews>
  <sheetFormatPr defaultRowHeight="14.25" x14ac:dyDescent="0.2"/>
  <cols>
    <col min="7" max="8" width="8.75" style="52"/>
  </cols>
  <sheetData>
    <row r="1" spans="1:19" x14ac:dyDescent="0.2">
      <c r="A1" s="3" t="s">
        <v>9</v>
      </c>
      <c r="B1" s="3" t="s">
        <v>10</v>
      </c>
      <c r="C1" s="3" t="s">
        <v>11</v>
      </c>
      <c r="D1" s="3" t="s">
        <v>12</v>
      </c>
      <c r="E1" s="4" t="s">
        <v>13</v>
      </c>
      <c r="F1" s="4" t="s">
        <v>14</v>
      </c>
      <c r="G1" s="51" t="s">
        <v>15</v>
      </c>
      <c r="H1" s="51" t="s">
        <v>16</v>
      </c>
      <c r="I1" s="5"/>
      <c r="J1" s="6"/>
      <c r="K1" s="6"/>
      <c r="L1" s="7"/>
      <c r="M1" s="7"/>
      <c r="N1" s="7"/>
      <c r="O1" s="7"/>
      <c r="P1" s="5"/>
      <c r="Q1" s="5"/>
      <c r="R1" s="5"/>
      <c r="S1" s="5"/>
    </row>
    <row r="2" spans="1:19" x14ac:dyDescent="0.2">
      <c r="A2" s="8" t="s">
        <v>17</v>
      </c>
      <c r="B2" s="38">
        <v>0.13580246913580246</v>
      </c>
      <c r="C2" s="8" t="s">
        <v>18</v>
      </c>
      <c r="D2" s="39">
        <f>2/11</f>
        <v>0.18181818181818182</v>
      </c>
      <c r="E2" s="11" t="s">
        <v>19</v>
      </c>
      <c r="F2" s="40">
        <f>0/3</f>
        <v>0</v>
      </c>
      <c r="G2" s="24">
        <f t="shared" ref="G2:G37" si="0">SUM(B2*D2*F2)</f>
        <v>0</v>
      </c>
      <c r="H2" s="24">
        <f t="shared" ref="H2:H10" si="1">G2/(G2+G11+G20+G29)</f>
        <v>0</v>
      </c>
      <c r="I2" s="14"/>
      <c r="J2" s="15" t="s">
        <v>20</v>
      </c>
      <c r="K2" s="15" t="s">
        <v>0</v>
      </c>
      <c r="L2" s="16" t="s">
        <v>6</v>
      </c>
      <c r="M2" s="16" t="s">
        <v>21</v>
      </c>
      <c r="N2" s="16" t="s">
        <v>22</v>
      </c>
      <c r="O2" s="17">
        <v>1</v>
      </c>
      <c r="P2" s="14" t="s">
        <v>47</v>
      </c>
      <c r="Q2" s="14"/>
      <c r="R2" s="14"/>
      <c r="S2" s="14"/>
    </row>
    <row r="3" spans="1:19" x14ac:dyDescent="0.2">
      <c r="A3" s="8" t="s">
        <v>17</v>
      </c>
      <c r="B3" s="38">
        <v>0.13580246913580246</v>
      </c>
      <c r="C3" s="8" t="s">
        <v>18</v>
      </c>
      <c r="D3" s="39">
        <f>2/11</f>
        <v>0.18181818181818182</v>
      </c>
      <c r="E3" s="11" t="s">
        <v>23</v>
      </c>
      <c r="F3" s="40">
        <f>1/2</f>
        <v>0.5</v>
      </c>
      <c r="G3" s="24">
        <f t="shared" si="0"/>
        <v>1.2345679012345678E-2</v>
      </c>
      <c r="H3" s="24">
        <f t="shared" si="1"/>
        <v>4.5454545454545456E-2</v>
      </c>
      <c r="I3" s="14"/>
      <c r="J3" s="18" t="s">
        <v>18</v>
      </c>
      <c r="K3" s="19" t="s">
        <v>19</v>
      </c>
      <c r="L3" s="20">
        <f t="shared" ref="L3:L11" si="2">H2</f>
        <v>0</v>
      </c>
      <c r="M3" s="20">
        <f>H11</f>
        <v>0</v>
      </c>
      <c r="N3" s="20">
        <f>H20</f>
        <v>0</v>
      </c>
      <c r="O3" s="20">
        <f>H29</f>
        <v>1</v>
      </c>
      <c r="P3" s="14">
        <v>1</v>
      </c>
      <c r="Q3" s="14"/>
      <c r="R3" s="14"/>
      <c r="S3" s="14"/>
    </row>
    <row r="4" spans="1:19" x14ac:dyDescent="0.2">
      <c r="A4" s="8" t="s">
        <v>17</v>
      </c>
      <c r="B4" s="38">
        <v>0.13580246913580199</v>
      </c>
      <c r="C4" s="8" t="s">
        <v>18</v>
      </c>
      <c r="D4" s="39">
        <f>2/11</f>
        <v>0.18181818181818182</v>
      </c>
      <c r="E4" s="11" t="s">
        <v>24</v>
      </c>
      <c r="F4" s="40">
        <f>1/2</f>
        <v>0.5</v>
      </c>
      <c r="G4" s="24">
        <f t="shared" si="0"/>
        <v>1.2345679012345635E-2</v>
      </c>
      <c r="H4" s="24">
        <f t="shared" si="1"/>
        <v>0.1111111111111108</v>
      </c>
      <c r="I4" s="14"/>
      <c r="J4" s="18" t="s">
        <v>18</v>
      </c>
      <c r="K4" s="19" t="s">
        <v>25</v>
      </c>
      <c r="L4" s="20">
        <f t="shared" si="2"/>
        <v>4.5454545454545456E-2</v>
      </c>
      <c r="M4" s="20">
        <f>H12</f>
        <v>0.36363636363636365</v>
      </c>
      <c r="N4" s="20">
        <f>H21</f>
        <v>0.18181818181818182</v>
      </c>
      <c r="O4" s="20">
        <f t="shared" ref="O4:O11" si="3">H30</f>
        <v>0.40909090909090912</v>
      </c>
      <c r="P4" s="14">
        <v>2</v>
      </c>
      <c r="Q4" s="14"/>
      <c r="R4" s="14"/>
      <c r="S4" s="14"/>
    </row>
    <row r="5" spans="1:19" x14ac:dyDescent="0.2">
      <c r="A5" s="8" t="s">
        <v>17</v>
      </c>
      <c r="B5" s="38">
        <v>0.13580246913580199</v>
      </c>
      <c r="C5" s="8" t="s">
        <v>26</v>
      </c>
      <c r="D5" s="39">
        <f>4/11</f>
        <v>0.36363636363636365</v>
      </c>
      <c r="E5" s="11" t="s">
        <v>19</v>
      </c>
      <c r="F5" s="40">
        <f>0/3</f>
        <v>0</v>
      </c>
      <c r="G5" s="24">
        <f t="shared" si="0"/>
        <v>0</v>
      </c>
      <c r="H5" s="24">
        <v>0</v>
      </c>
      <c r="I5" s="14"/>
      <c r="J5" s="18" t="s">
        <v>18</v>
      </c>
      <c r="K5" s="19" t="s">
        <v>27</v>
      </c>
      <c r="L5" s="20">
        <f t="shared" si="2"/>
        <v>0.1111111111111108</v>
      </c>
      <c r="M5" s="20">
        <f t="shared" ref="M5:M11" si="4">H13</f>
        <v>0.22222222222222238</v>
      </c>
      <c r="N5" s="20">
        <f t="shared" ref="N5:N11" si="5">H22</f>
        <v>0.11111111111111088</v>
      </c>
      <c r="O5" s="20">
        <f t="shared" si="3"/>
        <v>0.55555555555555591</v>
      </c>
      <c r="P5" s="14">
        <v>3</v>
      </c>
      <c r="Q5" s="14"/>
      <c r="R5" s="14"/>
      <c r="S5" s="14"/>
    </row>
    <row r="6" spans="1:19" x14ac:dyDescent="0.2">
      <c r="A6" s="8" t="s">
        <v>17</v>
      </c>
      <c r="B6" s="38">
        <v>0.13580246913580199</v>
      </c>
      <c r="C6" s="8" t="s">
        <v>26</v>
      </c>
      <c r="D6" s="39">
        <f>4/11</f>
        <v>0.36363636363636365</v>
      </c>
      <c r="E6" s="11" t="s">
        <v>23</v>
      </c>
      <c r="F6" s="40">
        <f>3/4</f>
        <v>0.75</v>
      </c>
      <c r="G6" s="24">
        <f t="shared" si="0"/>
        <v>3.7037037037036903E-2</v>
      </c>
      <c r="H6" s="24">
        <f t="shared" si="1"/>
        <v>0.13043478260869532</v>
      </c>
      <c r="I6" s="14"/>
      <c r="J6" s="21" t="s">
        <v>46</v>
      </c>
      <c r="K6" s="22" t="s">
        <v>19</v>
      </c>
      <c r="L6" s="23">
        <f t="shared" si="2"/>
        <v>0</v>
      </c>
      <c r="M6" s="23">
        <f t="shared" si="4"/>
        <v>0</v>
      </c>
      <c r="N6" s="23">
        <f t="shared" si="5"/>
        <v>0</v>
      </c>
      <c r="O6" s="23">
        <f t="shared" si="3"/>
        <v>0</v>
      </c>
      <c r="P6" s="14">
        <v>4</v>
      </c>
      <c r="Q6" s="14"/>
      <c r="R6" s="14"/>
      <c r="S6" s="14"/>
    </row>
    <row r="7" spans="1:19" x14ac:dyDescent="0.2">
      <c r="A7" s="8" t="s">
        <v>17</v>
      </c>
      <c r="B7" s="38">
        <v>0.13580246913580199</v>
      </c>
      <c r="C7" s="8" t="s">
        <v>26</v>
      </c>
      <c r="D7" s="39">
        <f>4/11</f>
        <v>0.36363636363636365</v>
      </c>
      <c r="E7" s="11" t="s">
        <v>24</v>
      </c>
      <c r="F7" s="40">
        <f>1/4</f>
        <v>0.25</v>
      </c>
      <c r="G7" s="24">
        <f t="shared" si="0"/>
        <v>1.2345679012345635E-2</v>
      </c>
      <c r="H7" s="24">
        <f t="shared" si="1"/>
        <v>0.12499999999999965</v>
      </c>
      <c r="I7" s="14"/>
      <c r="J7" s="21" t="s">
        <v>46</v>
      </c>
      <c r="K7" s="19" t="s">
        <v>25</v>
      </c>
      <c r="L7" s="20">
        <f t="shared" si="2"/>
        <v>0.13043478260869532</v>
      </c>
      <c r="M7" s="20">
        <f t="shared" si="4"/>
        <v>0.30434782608695693</v>
      </c>
      <c r="N7" s="20">
        <f t="shared" si="5"/>
        <v>0.1304347826086954</v>
      </c>
      <c r="O7" s="20">
        <f t="shared" si="3"/>
        <v>0.43478260869565233</v>
      </c>
      <c r="P7" s="14">
        <v>5</v>
      </c>
      <c r="Q7" s="14"/>
      <c r="R7" s="14"/>
      <c r="S7" s="14"/>
    </row>
    <row r="8" spans="1:19" x14ac:dyDescent="0.2">
      <c r="A8" s="8" t="s">
        <v>17</v>
      </c>
      <c r="B8" s="38">
        <v>0.13580246913580199</v>
      </c>
      <c r="C8" s="8" t="s">
        <v>28</v>
      </c>
      <c r="D8" s="39">
        <v>0.45454545454545453</v>
      </c>
      <c r="E8" s="11" t="s">
        <v>19</v>
      </c>
      <c r="F8" s="40">
        <f>0/5</f>
        <v>0</v>
      </c>
      <c r="G8" s="24">
        <f t="shared" si="0"/>
        <v>0</v>
      </c>
      <c r="H8" s="24">
        <v>0</v>
      </c>
      <c r="I8" s="14"/>
      <c r="J8" s="21" t="s">
        <v>46</v>
      </c>
      <c r="K8" s="19" t="s">
        <v>27</v>
      </c>
      <c r="L8" s="20">
        <f t="shared" si="2"/>
        <v>0.12499999999999965</v>
      </c>
      <c r="M8" s="23">
        <f>H16</f>
        <v>0.24999999999999989</v>
      </c>
      <c r="N8" s="20">
        <f t="shared" si="5"/>
        <v>0.12499999999999972</v>
      </c>
      <c r="O8" s="20">
        <f t="shared" si="3"/>
        <v>0.50000000000000067</v>
      </c>
      <c r="P8" s="14">
        <v>6</v>
      </c>
      <c r="Q8" s="14"/>
      <c r="R8" s="14"/>
      <c r="S8" s="14"/>
    </row>
    <row r="9" spans="1:19" x14ac:dyDescent="0.2">
      <c r="A9" s="8" t="s">
        <v>17</v>
      </c>
      <c r="B9" s="38">
        <v>0.13580246913580199</v>
      </c>
      <c r="C9" s="8" t="s">
        <v>28</v>
      </c>
      <c r="D9" s="39">
        <v>0.45454545454545453</v>
      </c>
      <c r="E9" s="11" t="s">
        <v>23</v>
      </c>
      <c r="F9" s="40">
        <f>0.6</f>
        <v>0.6</v>
      </c>
      <c r="G9" s="24">
        <f t="shared" si="0"/>
        <v>3.7037037037036903E-2</v>
      </c>
      <c r="H9" s="24">
        <f t="shared" si="1"/>
        <v>0.27272727272727226</v>
      </c>
      <c r="I9" s="14"/>
      <c r="J9" s="18" t="s">
        <v>28</v>
      </c>
      <c r="K9" s="19" t="s">
        <v>19</v>
      </c>
      <c r="L9" s="20">
        <f t="shared" si="2"/>
        <v>0</v>
      </c>
      <c r="M9" s="20">
        <f t="shared" si="4"/>
        <v>0</v>
      </c>
      <c r="N9" s="20">
        <f t="shared" si="5"/>
        <v>0</v>
      </c>
      <c r="O9" s="20">
        <f t="shared" si="3"/>
        <v>0</v>
      </c>
      <c r="P9" s="14">
        <v>7</v>
      </c>
      <c r="Q9" s="14"/>
      <c r="R9" s="14"/>
      <c r="S9" s="14"/>
    </row>
    <row r="10" spans="1:19" x14ac:dyDescent="0.2">
      <c r="A10" s="8" t="s">
        <v>17</v>
      </c>
      <c r="B10" s="38">
        <v>0.13580246913580199</v>
      </c>
      <c r="C10" s="8" t="s">
        <v>28</v>
      </c>
      <c r="D10" s="39">
        <v>0.45454545454545497</v>
      </c>
      <c r="E10" s="11" t="s">
        <v>24</v>
      </c>
      <c r="F10" s="40">
        <f>0.4</f>
        <v>0.4</v>
      </c>
      <c r="G10" s="24">
        <f t="shared" si="0"/>
        <v>2.4691358024691294E-2</v>
      </c>
      <c r="H10" s="24">
        <f t="shared" si="1"/>
        <v>0.33333333333333304</v>
      </c>
      <c r="I10" s="14"/>
      <c r="J10" s="18" t="s">
        <v>28</v>
      </c>
      <c r="K10" s="19" t="s">
        <v>25</v>
      </c>
      <c r="L10" s="20">
        <f t="shared" si="2"/>
        <v>0.27272727272727226</v>
      </c>
      <c r="M10" s="20">
        <f t="shared" si="4"/>
        <v>0.36363636363636448</v>
      </c>
      <c r="N10" s="20">
        <f t="shared" si="5"/>
        <v>0.36363636363636326</v>
      </c>
      <c r="O10" s="20">
        <f t="shared" si="3"/>
        <v>0</v>
      </c>
      <c r="P10" s="14">
        <v>8</v>
      </c>
      <c r="Q10" s="14"/>
      <c r="R10" s="14"/>
      <c r="S10" s="14"/>
    </row>
    <row r="11" spans="1:19" x14ac:dyDescent="0.2">
      <c r="A11" s="8" t="s">
        <v>29</v>
      </c>
      <c r="B11" s="38">
        <f>25/81</f>
        <v>0.30864197530864196</v>
      </c>
      <c r="C11" s="8" t="s">
        <v>18</v>
      </c>
      <c r="D11" s="39">
        <v>0.4</v>
      </c>
      <c r="E11" s="11" t="s">
        <v>19</v>
      </c>
      <c r="F11" s="40">
        <f>0/10</f>
        <v>0</v>
      </c>
      <c r="G11" s="24">
        <f t="shared" si="0"/>
        <v>0</v>
      </c>
      <c r="H11" s="24">
        <f>G11/(G11+G2+G20+G29)</f>
        <v>0</v>
      </c>
      <c r="I11" s="14"/>
      <c r="J11" s="18" t="s">
        <v>28</v>
      </c>
      <c r="K11" s="19" t="s">
        <v>27</v>
      </c>
      <c r="L11" s="20">
        <f t="shared" si="2"/>
        <v>0.33333333333333304</v>
      </c>
      <c r="M11" s="20">
        <f t="shared" si="4"/>
        <v>0.33333333333333354</v>
      </c>
      <c r="N11" s="20">
        <f t="shared" si="5"/>
        <v>0.16666666666666649</v>
      </c>
      <c r="O11" s="20">
        <f t="shared" si="3"/>
        <v>0.16666666666666693</v>
      </c>
      <c r="P11" s="14">
        <v>9</v>
      </c>
      <c r="Q11" s="14"/>
      <c r="R11" s="14"/>
      <c r="S11" s="14"/>
    </row>
    <row r="12" spans="1:19" x14ac:dyDescent="0.2">
      <c r="A12" s="8" t="s">
        <v>29</v>
      </c>
      <c r="B12" s="38">
        <f>25/81</f>
        <v>0.30864197530864196</v>
      </c>
      <c r="C12" s="8" t="s">
        <v>18</v>
      </c>
      <c r="D12" s="39">
        <v>0.4</v>
      </c>
      <c r="E12" s="11" t="s">
        <v>23</v>
      </c>
      <c r="F12" s="40">
        <f>0.8</f>
        <v>0.8</v>
      </c>
      <c r="G12" s="24">
        <f t="shared" si="0"/>
        <v>9.8765432098765427E-2</v>
      </c>
      <c r="H12" s="24">
        <f>G12/(G12+G3+G21+G30)</f>
        <v>0.36363636363636365</v>
      </c>
      <c r="I12" s="14"/>
      <c r="J12" s="13"/>
      <c r="K12" s="11"/>
      <c r="L12" s="24"/>
      <c r="M12" s="24"/>
      <c r="N12" s="24"/>
      <c r="O12" s="24"/>
      <c r="P12" s="14"/>
      <c r="Q12" s="14"/>
      <c r="R12" s="14"/>
      <c r="S12" s="14"/>
    </row>
    <row r="13" spans="1:19" x14ac:dyDescent="0.2">
      <c r="A13" s="8" t="s">
        <v>29</v>
      </c>
      <c r="B13" s="38">
        <f t="shared" ref="B13:B19" si="6">25/81</f>
        <v>0.30864197530864196</v>
      </c>
      <c r="C13" s="8" t="s">
        <v>18</v>
      </c>
      <c r="D13" s="39">
        <v>0.4</v>
      </c>
      <c r="E13" s="11" t="s">
        <v>24</v>
      </c>
      <c r="F13" s="40">
        <f>0.2</f>
        <v>0.2</v>
      </c>
      <c r="G13" s="24">
        <f t="shared" si="0"/>
        <v>2.4691358024691357E-2</v>
      </c>
      <c r="H13" s="24">
        <f>G13/(G13+G4+G22+G31)</f>
        <v>0.22222222222222238</v>
      </c>
      <c r="I13" s="14"/>
      <c r="J13" s="3"/>
      <c r="K13" s="41"/>
      <c r="L13" s="42"/>
      <c r="M13" s="41"/>
      <c r="N13" s="42"/>
      <c r="O13" s="41"/>
      <c r="P13" s="42"/>
      <c r="Q13" s="41"/>
      <c r="R13" s="42"/>
      <c r="S13" s="41"/>
    </row>
    <row r="14" spans="1:19" x14ac:dyDescent="0.2">
      <c r="A14" s="8" t="s">
        <v>29</v>
      </c>
      <c r="B14" s="38">
        <f t="shared" si="6"/>
        <v>0.30864197530864196</v>
      </c>
      <c r="C14" s="8" t="s">
        <v>26</v>
      </c>
      <c r="D14" s="39">
        <v>0.36</v>
      </c>
      <c r="E14" s="11" t="s">
        <v>19</v>
      </c>
      <c r="F14" s="40">
        <f>0/9</f>
        <v>0</v>
      </c>
      <c r="G14" s="24">
        <f t="shared" si="0"/>
        <v>0</v>
      </c>
      <c r="H14" s="24">
        <v>0</v>
      </c>
      <c r="I14" s="14"/>
      <c r="J14" s="13"/>
      <c r="K14" s="12"/>
      <c r="L14" s="12"/>
      <c r="M14" s="12"/>
      <c r="N14" s="24"/>
      <c r="O14" s="24"/>
      <c r="P14" s="12"/>
      <c r="Q14" s="24"/>
      <c r="R14" s="24"/>
      <c r="S14" s="12"/>
    </row>
    <row r="15" spans="1:19" x14ac:dyDescent="0.2">
      <c r="A15" s="8" t="s">
        <v>29</v>
      </c>
      <c r="B15" s="38">
        <f t="shared" si="6"/>
        <v>0.30864197530864196</v>
      </c>
      <c r="C15" s="8" t="s">
        <v>26</v>
      </c>
      <c r="D15" s="39">
        <v>0.36</v>
      </c>
      <c r="E15" s="11" t="s">
        <v>23</v>
      </c>
      <c r="F15" s="40">
        <f>0.777777777777778</f>
        <v>0.77777777777777801</v>
      </c>
      <c r="G15" s="24">
        <f t="shared" si="0"/>
        <v>8.6419753086419776E-2</v>
      </c>
      <c r="H15" s="24">
        <f>G15/(G6+G15+G24+G33)</f>
        <v>0.30434782608695693</v>
      </c>
      <c r="I15" s="14"/>
      <c r="J15" s="13"/>
      <c r="K15" s="12"/>
      <c r="L15" s="12"/>
      <c r="M15" s="12"/>
      <c r="N15" s="24"/>
      <c r="O15" s="24"/>
      <c r="P15" s="12"/>
      <c r="Q15" s="24"/>
      <c r="R15" s="24"/>
      <c r="S15" s="12"/>
    </row>
    <row r="16" spans="1:19" x14ac:dyDescent="0.2">
      <c r="A16" s="8" t="s">
        <v>29</v>
      </c>
      <c r="B16" s="38">
        <f t="shared" si="6"/>
        <v>0.30864197530864196</v>
      </c>
      <c r="C16" s="8" t="s">
        <v>26</v>
      </c>
      <c r="D16" s="39">
        <v>0.36</v>
      </c>
      <c r="E16" s="11" t="s">
        <v>24</v>
      </c>
      <c r="F16" s="40">
        <f>0.222222222222222</f>
        <v>0.22222222222222199</v>
      </c>
      <c r="G16" s="24">
        <f t="shared" si="0"/>
        <v>2.4691358024691329E-2</v>
      </c>
      <c r="H16" s="24">
        <f>G16/(G16+G7+G25+G34)</f>
        <v>0.24999999999999989</v>
      </c>
      <c r="I16" s="14"/>
      <c r="J16" s="13"/>
      <c r="K16" s="12"/>
      <c r="L16" s="12"/>
      <c r="M16" s="12"/>
      <c r="N16" s="24"/>
      <c r="O16" s="24"/>
      <c r="P16" s="12"/>
      <c r="Q16" s="24"/>
      <c r="R16" s="24"/>
      <c r="S16" s="12"/>
    </row>
    <row r="17" spans="1:19" x14ac:dyDescent="0.2">
      <c r="A17" s="8" t="s">
        <v>29</v>
      </c>
      <c r="B17" s="38">
        <f t="shared" si="6"/>
        <v>0.30864197530864196</v>
      </c>
      <c r="C17" s="8" t="s">
        <v>28</v>
      </c>
      <c r="D17" s="39">
        <v>0.24</v>
      </c>
      <c r="E17" s="11" t="s">
        <v>19</v>
      </c>
      <c r="F17" s="40">
        <f>0/6</f>
        <v>0</v>
      </c>
      <c r="G17" s="24">
        <f t="shared" si="0"/>
        <v>0</v>
      </c>
      <c r="H17" s="24">
        <v>0</v>
      </c>
      <c r="I17" s="14"/>
      <c r="J17" s="43"/>
      <c r="K17" s="12"/>
      <c r="L17" s="12"/>
      <c r="M17" s="12"/>
      <c r="N17" s="24"/>
      <c r="O17" s="24"/>
      <c r="P17" s="12"/>
      <c r="Q17" s="24"/>
      <c r="R17" s="24"/>
      <c r="S17" s="12"/>
    </row>
    <row r="18" spans="1:19" x14ac:dyDescent="0.2">
      <c r="A18" s="8" t="s">
        <v>29</v>
      </c>
      <c r="B18" s="38">
        <f t="shared" si="6"/>
        <v>0.30864197530864196</v>
      </c>
      <c r="C18" s="8" t="s">
        <v>28</v>
      </c>
      <c r="D18" s="39">
        <v>0.24</v>
      </c>
      <c r="E18" s="11" t="s">
        <v>23</v>
      </c>
      <c r="F18" s="40">
        <f>0.666666666666667</f>
        <v>0.66666666666666696</v>
      </c>
      <c r="G18" s="24">
        <f t="shared" si="0"/>
        <v>4.9382716049382734E-2</v>
      </c>
      <c r="H18" s="24">
        <f>G18/(G18+G9+G27+G36)</f>
        <v>0.36363636363636448</v>
      </c>
      <c r="I18" s="14"/>
      <c r="J18" s="13"/>
      <c r="K18" s="24"/>
      <c r="L18" s="13"/>
      <c r="M18" s="13"/>
      <c r="N18" s="13"/>
      <c r="O18" s="13"/>
      <c r="P18" s="13"/>
      <c r="Q18" s="13"/>
      <c r="R18" s="13"/>
      <c r="S18" s="13"/>
    </row>
    <row r="19" spans="1:19" x14ac:dyDescent="0.2">
      <c r="A19" s="8" t="s">
        <v>29</v>
      </c>
      <c r="B19" s="38">
        <f t="shared" si="6"/>
        <v>0.30864197530864196</v>
      </c>
      <c r="C19" s="8" t="s">
        <v>28</v>
      </c>
      <c r="D19" s="39">
        <v>0.24</v>
      </c>
      <c r="E19" s="11" t="s">
        <v>24</v>
      </c>
      <c r="F19" s="40">
        <f>0.333333333333333</f>
        <v>0.33333333333333298</v>
      </c>
      <c r="G19" s="24">
        <f t="shared" si="0"/>
        <v>2.4691358024691329E-2</v>
      </c>
      <c r="H19" s="24">
        <f>G19/(G19+G10+G28+G37)</f>
        <v>0.33333333333333354</v>
      </c>
      <c r="I19" s="14"/>
      <c r="J19" s="13"/>
      <c r="K19" s="44"/>
      <c r="L19" s="44"/>
      <c r="M19" s="44"/>
      <c r="N19" s="44"/>
      <c r="O19" s="44"/>
      <c r="P19" s="44"/>
      <c r="Q19" s="44"/>
      <c r="R19" s="44"/>
      <c r="S19" s="44"/>
    </row>
    <row r="20" spans="1:19" x14ac:dyDescent="0.2">
      <c r="A20" s="8" t="s">
        <v>41</v>
      </c>
      <c r="B20" s="38">
        <v>0.1728395061728395</v>
      </c>
      <c r="C20" s="8" t="s">
        <v>18</v>
      </c>
      <c r="D20" s="39">
        <v>0.35714285714285715</v>
      </c>
      <c r="E20" s="11" t="s">
        <v>19</v>
      </c>
      <c r="F20" s="40">
        <f>0/5</f>
        <v>0</v>
      </c>
      <c r="G20" s="24">
        <f t="shared" si="0"/>
        <v>0</v>
      </c>
      <c r="H20" s="24">
        <f>G20/(G2+G11+G20+G29)</f>
        <v>0</v>
      </c>
      <c r="I20" s="14"/>
      <c r="J20" s="14"/>
      <c r="K20" s="30"/>
      <c r="L20" s="14"/>
      <c r="M20" s="14"/>
      <c r="N20" s="14"/>
      <c r="O20" s="14"/>
      <c r="P20" s="14"/>
      <c r="Q20" s="14"/>
      <c r="R20" s="14"/>
      <c r="S20" s="14"/>
    </row>
    <row r="21" spans="1:19" x14ac:dyDescent="0.2">
      <c r="A21" s="8" t="s">
        <v>41</v>
      </c>
      <c r="B21" s="38">
        <v>0.1728395061728395</v>
      </c>
      <c r="C21" s="8" t="s">
        <v>18</v>
      </c>
      <c r="D21" s="39">
        <v>0.35714285714285715</v>
      </c>
      <c r="E21" s="11" t="s">
        <v>23</v>
      </c>
      <c r="F21" s="40">
        <f>0.8</f>
        <v>0.8</v>
      </c>
      <c r="G21" s="24">
        <f t="shared" si="0"/>
        <v>4.9382716049382713E-2</v>
      </c>
      <c r="H21" s="24">
        <f>G21/(G21+G30+G3+G12)</f>
        <v>0.18181818181818182</v>
      </c>
      <c r="I21" s="14"/>
      <c r="J21" s="37"/>
      <c r="K21" s="37"/>
      <c r="L21" s="37"/>
      <c r="M21" s="37"/>
      <c r="N21" s="14"/>
      <c r="O21" s="14"/>
      <c r="P21" s="14"/>
      <c r="Q21" s="14"/>
      <c r="R21" s="14"/>
      <c r="S21" s="14"/>
    </row>
    <row r="22" spans="1:19" x14ac:dyDescent="0.2">
      <c r="A22" s="8" t="s">
        <v>41</v>
      </c>
      <c r="B22" s="38">
        <v>0.172839506172839</v>
      </c>
      <c r="C22" s="8" t="s">
        <v>18</v>
      </c>
      <c r="D22" s="39">
        <v>0.35714285714285715</v>
      </c>
      <c r="E22" s="11" t="s">
        <v>24</v>
      </c>
      <c r="F22" s="40">
        <f>0.2</f>
        <v>0.2</v>
      </c>
      <c r="G22" s="24">
        <f t="shared" si="0"/>
        <v>1.2345679012345644E-2</v>
      </c>
      <c r="H22" s="24">
        <f>G22/(G22+G31+G4+G13)</f>
        <v>0.11111111111111088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x14ac:dyDescent="0.2">
      <c r="A23" s="8" t="s">
        <v>41</v>
      </c>
      <c r="B23" s="38">
        <v>0.172839506172839</v>
      </c>
      <c r="C23" s="8" t="s">
        <v>26</v>
      </c>
      <c r="D23" s="39">
        <v>0.2857142857142857</v>
      </c>
      <c r="E23" s="11" t="s">
        <v>19</v>
      </c>
      <c r="F23" s="40">
        <f>0/4</f>
        <v>0</v>
      </c>
      <c r="G23" s="24">
        <f t="shared" si="0"/>
        <v>0</v>
      </c>
      <c r="H23" s="24">
        <v>0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x14ac:dyDescent="0.2">
      <c r="A24" s="8" t="s">
        <v>41</v>
      </c>
      <c r="B24" s="38">
        <v>0.172839506172839</v>
      </c>
      <c r="C24" s="8" t="s">
        <v>26</v>
      </c>
      <c r="D24" s="39">
        <v>0.2857142857142857</v>
      </c>
      <c r="E24" s="11" t="s">
        <v>23</v>
      </c>
      <c r="F24" s="40">
        <f>0.75</f>
        <v>0.75</v>
      </c>
      <c r="G24" s="24">
        <f t="shared" si="0"/>
        <v>3.7037037037036924E-2</v>
      </c>
      <c r="H24" s="24">
        <f>G24/(G24+G33+G6+G15)</f>
        <v>0.1304347826086954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x14ac:dyDescent="0.2">
      <c r="A25" s="8" t="s">
        <v>41</v>
      </c>
      <c r="B25" s="38">
        <v>0.172839506172839</v>
      </c>
      <c r="C25" s="8" t="s">
        <v>26</v>
      </c>
      <c r="D25" s="39">
        <v>0.2857142857142857</v>
      </c>
      <c r="E25" s="11" t="s">
        <v>24</v>
      </c>
      <c r="F25" s="40">
        <f>0.25</f>
        <v>0.25</v>
      </c>
      <c r="G25" s="24">
        <f t="shared" si="0"/>
        <v>1.2345679012345642E-2</v>
      </c>
      <c r="H25" s="24">
        <f>G25/(G7+G16+G25+G34)</f>
        <v>0.12499999999999972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x14ac:dyDescent="0.2">
      <c r="A26" s="8" t="s">
        <v>41</v>
      </c>
      <c r="B26" s="38">
        <v>0.172839506172839</v>
      </c>
      <c r="C26" s="8" t="s">
        <v>28</v>
      </c>
      <c r="D26" s="39">
        <v>0.35714285714285715</v>
      </c>
      <c r="E26" s="11" t="s">
        <v>19</v>
      </c>
      <c r="F26" s="40">
        <f>0/5</f>
        <v>0</v>
      </c>
      <c r="G26" s="24">
        <f t="shared" si="0"/>
        <v>0</v>
      </c>
      <c r="H26" s="24">
        <v>0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x14ac:dyDescent="0.2">
      <c r="A27" s="8" t="s">
        <v>41</v>
      </c>
      <c r="B27" s="38">
        <v>0.172839506172839</v>
      </c>
      <c r="C27" s="8" t="s">
        <v>28</v>
      </c>
      <c r="D27" s="39">
        <v>0.35714285714285715</v>
      </c>
      <c r="E27" s="11" t="s">
        <v>23</v>
      </c>
      <c r="F27" s="40">
        <f>0.8</f>
        <v>0.8</v>
      </c>
      <c r="G27" s="24">
        <f t="shared" si="0"/>
        <v>4.9382716049382575E-2</v>
      </c>
      <c r="H27" s="24">
        <f>G27/(G27+G36+G9+G18)</f>
        <v>0.36363636363636326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x14ac:dyDescent="0.2">
      <c r="A28" s="8" t="s">
        <v>41</v>
      </c>
      <c r="B28" s="38">
        <v>0.172839506172839</v>
      </c>
      <c r="C28" s="8" t="s">
        <v>28</v>
      </c>
      <c r="D28" s="39">
        <v>0.35714285714285715</v>
      </c>
      <c r="E28" s="11" t="s">
        <v>24</v>
      </c>
      <c r="F28" s="40">
        <f>0.2</f>
        <v>0.2</v>
      </c>
      <c r="G28" s="24">
        <f t="shared" si="0"/>
        <v>1.2345679012345644E-2</v>
      </c>
      <c r="H28" s="24">
        <f>G28/(G28+G37+G10+G19)</f>
        <v>0.16666666666666649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x14ac:dyDescent="0.2">
      <c r="A29" s="32">
        <v>100</v>
      </c>
      <c r="B29" s="39">
        <v>0.38271604938271603</v>
      </c>
      <c r="C29" s="8" t="s">
        <v>18</v>
      </c>
      <c r="D29" s="39">
        <v>0.5161290322580645</v>
      </c>
      <c r="E29" s="11" t="s">
        <v>19</v>
      </c>
      <c r="F29" s="40">
        <f>0.125</f>
        <v>0.125</v>
      </c>
      <c r="G29" s="24">
        <f t="shared" si="0"/>
        <v>2.4691358024691357E-2</v>
      </c>
      <c r="H29" s="24">
        <f>G29/(G29+G11+G20+G2)</f>
        <v>1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x14ac:dyDescent="0.2">
      <c r="A30" s="32">
        <v>100</v>
      </c>
      <c r="B30" s="39">
        <v>0.38271604938271603</v>
      </c>
      <c r="C30" s="8" t="s">
        <v>18</v>
      </c>
      <c r="D30" s="39">
        <v>0.5161290322580645</v>
      </c>
      <c r="E30" s="11" t="s">
        <v>23</v>
      </c>
      <c r="F30" s="40">
        <f>0.5625</f>
        <v>0.5625</v>
      </c>
      <c r="G30" s="24">
        <f t="shared" si="0"/>
        <v>0.1111111111111111</v>
      </c>
      <c r="H30" s="24">
        <f t="shared" ref="H30:H34" si="7">G30/(G30+G3+G12+G21)</f>
        <v>0.40909090909090912</v>
      </c>
      <c r="I30" s="14"/>
      <c r="J30" s="33"/>
      <c r="K30" s="14"/>
      <c r="L30" s="14"/>
      <c r="M30" s="14"/>
      <c r="N30" s="14"/>
      <c r="O30" s="14"/>
      <c r="P30" s="14"/>
      <c r="Q30" s="14"/>
      <c r="R30" s="14"/>
      <c r="S30" s="14"/>
    </row>
    <row r="31" spans="1:19" x14ac:dyDescent="0.2">
      <c r="A31" s="32">
        <v>100</v>
      </c>
      <c r="B31" s="39">
        <v>0.38271604938271597</v>
      </c>
      <c r="C31" s="8" t="s">
        <v>18</v>
      </c>
      <c r="D31" s="39">
        <v>0.5161290322580645</v>
      </c>
      <c r="E31" s="11" t="s">
        <v>24</v>
      </c>
      <c r="F31" s="40">
        <f>0.3125</f>
        <v>0.3125</v>
      </c>
      <c r="G31" s="24">
        <f t="shared" si="0"/>
        <v>6.1728395061728385E-2</v>
      </c>
      <c r="H31" s="24">
        <f t="shared" si="7"/>
        <v>0.55555555555555591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x14ac:dyDescent="0.2">
      <c r="A32" s="32">
        <v>100</v>
      </c>
      <c r="B32" s="39">
        <v>0.38271604938271597</v>
      </c>
      <c r="C32" s="8" t="s">
        <v>26</v>
      </c>
      <c r="D32" s="39">
        <v>0.45161290322580644</v>
      </c>
      <c r="E32" s="11" t="s">
        <v>19</v>
      </c>
      <c r="F32" s="40">
        <f>0/14</f>
        <v>0</v>
      </c>
      <c r="G32" s="24">
        <f t="shared" si="0"/>
        <v>0</v>
      </c>
      <c r="H32" s="24">
        <v>0</v>
      </c>
      <c r="I32" s="33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x14ac:dyDescent="0.2">
      <c r="A33" s="32">
        <v>100</v>
      </c>
      <c r="B33" s="39">
        <v>0.38271604938271597</v>
      </c>
      <c r="C33" s="8" t="s">
        <v>26</v>
      </c>
      <c r="D33" s="39">
        <v>0.45161290322580644</v>
      </c>
      <c r="E33" s="11" t="s">
        <v>23</v>
      </c>
      <c r="F33" s="40">
        <f>0.714285714285714</f>
        <v>0.71428571428571397</v>
      </c>
      <c r="G33" s="24">
        <f t="shared" si="0"/>
        <v>0.12345679012345671</v>
      </c>
      <c r="H33" s="24">
        <f t="shared" si="7"/>
        <v>0.43478260869565233</v>
      </c>
      <c r="I33" s="33"/>
      <c r="J33" s="14"/>
      <c r="K33" s="14"/>
      <c r="L33" s="34"/>
      <c r="M33" s="14"/>
      <c r="N33" s="14"/>
      <c r="O33" s="14"/>
      <c r="P33" s="14"/>
      <c r="Q33" s="14"/>
      <c r="R33" s="14"/>
      <c r="S33" s="14"/>
    </row>
    <row r="34" spans="1:19" x14ac:dyDescent="0.2">
      <c r="A34" s="32">
        <v>100</v>
      </c>
      <c r="B34" s="39">
        <v>0.38271604938271597</v>
      </c>
      <c r="C34" s="8" t="s">
        <v>26</v>
      </c>
      <c r="D34" s="39">
        <v>0.45161290322580644</v>
      </c>
      <c r="E34" s="11" t="s">
        <v>24</v>
      </c>
      <c r="F34" s="40">
        <f>0.285714285714286</f>
        <v>0.28571428571428598</v>
      </c>
      <c r="G34" s="24">
        <f t="shared" si="0"/>
        <v>4.9382716049382748E-2</v>
      </c>
      <c r="H34" s="24">
        <f t="shared" si="7"/>
        <v>0.50000000000000067</v>
      </c>
      <c r="I34" s="33"/>
      <c r="J34" s="14"/>
      <c r="K34" s="14"/>
      <c r="L34" s="34"/>
      <c r="M34" s="14"/>
      <c r="N34" s="14"/>
      <c r="O34" s="14"/>
      <c r="P34" s="14"/>
      <c r="Q34" s="14"/>
      <c r="R34" s="14"/>
      <c r="S34" s="14"/>
    </row>
    <row r="35" spans="1:19" x14ac:dyDescent="0.2">
      <c r="A35" s="32">
        <v>100</v>
      </c>
      <c r="B35" s="39">
        <v>0.38271604938271597</v>
      </c>
      <c r="C35" s="8" t="s">
        <v>28</v>
      </c>
      <c r="D35" s="39">
        <v>3.2258064516129031E-2</v>
      </c>
      <c r="E35" s="11" t="s">
        <v>19</v>
      </c>
      <c r="F35" s="40">
        <f>0/1</f>
        <v>0</v>
      </c>
      <c r="G35" s="24">
        <f t="shared" si="0"/>
        <v>0</v>
      </c>
      <c r="H35" s="24">
        <v>0</v>
      </c>
      <c r="I35" s="14"/>
      <c r="J35" s="14"/>
      <c r="K35" s="14"/>
      <c r="L35" s="34"/>
      <c r="M35" s="14"/>
      <c r="N35" s="14"/>
      <c r="O35" s="14"/>
      <c r="P35" s="14"/>
      <c r="Q35" s="14"/>
      <c r="R35" s="14"/>
      <c r="S35" s="14"/>
    </row>
    <row r="36" spans="1:19" x14ac:dyDescent="0.2">
      <c r="A36" s="32">
        <v>100</v>
      </c>
      <c r="B36" s="39">
        <v>0.38271604938271597</v>
      </c>
      <c r="C36" s="8" t="s">
        <v>28</v>
      </c>
      <c r="D36" s="39">
        <v>3.2258064516129031E-2</v>
      </c>
      <c r="E36" s="11" t="s">
        <v>23</v>
      </c>
      <c r="F36" s="40">
        <f>0/1</f>
        <v>0</v>
      </c>
      <c r="G36" s="24">
        <f t="shared" si="0"/>
        <v>0</v>
      </c>
      <c r="H36" s="24">
        <f>G36/(G36+G27+G18+G9)</f>
        <v>0</v>
      </c>
      <c r="I36" s="14"/>
      <c r="J36" s="14"/>
      <c r="K36" s="14"/>
      <c r="L36" s="34"/>
      <c r="M36" s="14"/>
      <c r="N36" s="14"/>
      <c r="O36" s="14"/>
      <c r="P36" s="14"/>
      <c r="Q36" s="14"/>
      <c r="R36" s="14"/>
      <c r="S36" s="14"/>
    </row>
    <row r="37" spans="1:19" x14ac:dyDescent="0.2">
      <c r="A37" s="32">
        <v>100</v>
      </c>
      <c r="B37" s="39">
        <v>0.38271604938271597</v>
      </c>
      <c r="C37" s="8" t="s">
        <v>28</v>
      </c>
      <c r="D37" s="39">
        <v>3.2258064516129031E-2</v>
      </c>
      <c r="E37" s="11" t="s">
        <v>24</v>
      </c>
      <c r="F37" s="40">
        <f>1</f>
        <v>1</v>
      </c>
      <c r="G37" s="24">
        <f t="shared" si="0"/>
        <v>1.2345679012345677E-2</v>
      </c>
      <c r="H37" s="24">
        <f>G37/(G37+G28+G19+G10)</f>
        <v>0.16666666666666693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x14ac:dyDescent="0.2">
      <c r="A38" s="14"/>
      <c r="B38" s="14"/>
      <c r="C38" s="14"/>
      <c r="D38" s="14"/>
      <c r="E38" s="14"/>
      <c r="F38" s="14"/>
      <c r="G38" s="30"/>
      <c r="H38" s="30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x14ac:dyDescent="0.2">
      <c r="A39" s="14"/>
      <c r="B39" s="14"/>
      <c r="C39" s="14"/>
      <c r="D39" s="14"/>
      <c r="E39" s="14"/>
      <c r="F39" s="14"/>
      <c r="G39" s="30"/>
      <c r="H39" s="30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5"/>
  <sheetViews>
    <sheetView topLeftCell="A2" zoomScale="80" zoomScaleNormal="80" workbookViewId="0">
      <selection activeCell="F71" sqref="F71"/>
    </sheetView>
  </sheetViews>
  <sheetFormatPr defaultRowHeight="14.25" x14ac:dyDescent="0.2"/>
  <cols>
    <col min="1" max="1" width="11.25" style="60" bestFit="1" customWidth="1"/>
    <col min="2" max="2" width="10.375" style="60" bestFit="1" customWidth="1"/>
    <col min="3" max="3" width="13.25" style="60" bestFit="1" customWidth="1"/>
    <col min="4" max="4" width="10.75" style="60" bestFit="1" customWidth="1"/>
    <col min="5" max="5" width="9.25" style="60" bestFit="1" customWidth="1"/>
    <col min="6" max="6" width="10.25" style="60" bestFit="1" customWidth="1"/>
    <col min="7" max="7" width="10.5" style="60" bestFit="1" customWidth="1"/>
    <col min="8" max="8" width="12.875" style="60" bestFit="1" customWidth="1"/>
    <col min="9" max="9" width="9.875" style="60" bestFit="1" customWidth="1"/>
    <col min="10" max="10" width="9.75" style="60" bestFit="1" customWidth="1"/>
    <col min="11" max="11" width="9.875" style="60" bestFit="1" customWidth="1"/>
    <col min="12" max="12" width="14.625" style="60" bestFit="1" customWidth="1"/>
    <col min="13" max="13" width="17.25" style="60" bestFit="1" customWidth="1"/>
    <col min="14" max="14" width="12.75" style="60" bestFit="1" customWidth="1"/>
  </cols>
  <sheetData>
    <row r="1" spans="1:14" x14ac:dyDescent="0.2">
      <c r="A1" s="48" t="s">
        <v>42</v>
      </c>
      <c r="B1" s="48" t="s">
        <v>13</v>
      </c>
      <c r="C1" s="48" t="s">
        <v>44</v>
      </c>
      <c r="D1" s="48" t="s">
        <v>51</v>
      </c>
      <c r="E1" s="48" t="s">
        <v>52</v>
      </c>
      <c r="F1" s="48" t="s">
        <v>1</v>
      </c>
      <c r="G1" s="48" t="s">
        <v>2</v>
      </c>
      <c r="H1" s="48" t="s">
        <v>45</v>
      </c>
      <c r="I1" s="48" t="s">
        <v>43</v>
      </c>
      <c r="J1" s="48" t="s">
        <v>50</v>
      </c>
      <c r="K1" s="48" t="s">
        <v>43</v>
      </c>
      <c r="L1" s="49" t="s">
        <v>3</v>
      </c>
      <c r="M1" s="49" t="s">
        <v>4</v>
      </c>
      <c r="N1" s="49" t="s">
        <v>5</v>
      </c>
    </row>
    <row r="2" spans="1:14" x14ac:dyDescent="0.2">
      <c r="A2" s="46" t="s">
        <v>49</v>
      </c>
      <c r="B2" s="46">
        <v>1349</v>
      </c>
      <c r="C2" s="46" t="s">
        <v>56</v>
      </c>
      <c r="D2" s="46">
        <v>45</v>
      </c>
      <c r="E2" s="46">
        <v>6</v>
      </c>
      <c r="F2" s="46">
        <v>51</v>
      </c>
      <c r="G2" s="46">
        <v>108</v>
      </c>
      <c r="H2" s="46" t="s">
        <v>53</v>
      </c>
      <c r="I2" s="46">
        <v>47.222222222222221</v>
      </c>
      <c r="J2" s="1" t="s">
        <v>6</v>
      </c>
      <c r="K2" s="46">
        <v>47.222222222222221</v>
      </c>
      <c r="L2" s="1">
        <v>1</v>
      </c>
      <c r="M2" s="46">
        <v>1</v>
      </c>
      <c r="N2" s="46">
        <v>1</v>
      </c>
    </row>
    <row r="3" spans="1:14" x14ac:dyDescent="0.2">
      <c r="A3" s="46" t="s">
        <v>49</v>
      </c>
      <c r="B3" s="46">
        <v>1392</v>
      </c>
      <c r="C3" s="46" t="s">
        <v>56</v>
      </c>
      <c r="D3" s="46">
        <v>8</v>
      </c>
      <c r="E3" s="46">
        <v>36</v>
      </c>
      <c r="F3" s="46">
        <v>44</v>
      </c>
      <c r="G3" s="46">
        <v>90</v>
      </c>
      <c r="H3" s="46" t="s">
        <v>53</v>
      </c>
      <c r="I3" s="46">
        <v>48.888888888888886</v>
      </c>
      <c r="J3" s="1" t="s">
        <v>6</v>
      </c>
      <c r="K3" s="46">
        <v>48.888888888888886</v>
      </c>
      <c r="L3" s="1">
        <v>1</v>
      </c>
      <c r="M3" s="46">
        <v>1</v>
      </c>
      <c r="N3" s="46">
        <v>1</v>
      </c>
    </row>
    <row r="4" spans="1:14" x14ac:dyDescent="0.2">
      <c r="A4" s="46" t="s">
        <v>49</v>
      </c>
      <c r="B4" s="46">
        <v>2450</v>
      </c>
      <c r="C4" s="46" t="s">
        <v>57</v>
      </c>
      <c r="D4" s="46">
        <v>46</v>
      </c>
      <c r="E4" s="46">
        <v>0</v>
      </c>
      <c r="F4" s="46">
        <v>46</v>
      </c>
      <c r="G4" s="46">
        <v>100</v>
      </c>
      <c r="H4" s="46" t="s">
        <v>53</v>
      </c>
      <c r="I4" s="46">
        <v>46</v>
      </c>
      <c r="J4" s="1" t="s">
        <v>6</v>
      </c>
      <c r="K4" s="46">
        <v>46</v>
      </c>
      <c r="L4" s="1">
        <v>1</v>
      </c>
      <c r="M4" s="46">
        <v>1</v>
      </c>
      <c r="N4" s="46">
        <v>2</v>
      </c>
    </row>
    <row r="5" spans="1:14" x14ac:dyDescent="0.2">
      <c r="A5" s="46" t="s">
        <v>49</v>
      </c>
      <c r="B5" s="46">
        <v>2465</v>
      </c>
      <c r="C5" s="46" t="s">
        <v>57</v>
      </c>
      <c r="D5" s="46">
        <v>17</v>
      </c>
      <c r="E5" s="46">
        <v>42</v>
      </c>
      <c r="F5" s="46">
        <v>59</v>
      </c>
      <c r="G5" s="46">
        <v>127</v>
      </c>
      <c r="H5" s="46" t="s">
        <v>53</v>
      </c>
      <c r="I5" s="46">
        <v>46.45669291338583</v>
      </c>
      <c r="J5" s="1" t="s">
        <v>6</v>
      </c>
      <c r="K5" s="46">
        <v>46.45669291338583</v>
      </c>
      <c r="L5" s="1">
        <v>1</v>
      </c>
      <c r="M5" s="46">
        <v>1</v>
      </c>
      <c r="N5" s="46">
        <v>2</v>
      </c>
    </row>
    <row r="6" spans="1:14" x14ac:dyDescent="0.2">
      <c r="A6" s="46" t="s">
        <v>49</v>
      </c>
      <c r="B6" s="46">
        <v>2490</v>
      </c>
      <c r="C6" s="46" t="s">
        <v>57</v>
      </c>
      <c r="D6" s="46">
        <v>34</v>
      </c>
      <c r="E6" s="46">
        <v>34</v>
      </c>
      <c r="F6" s="46">
        <v>68</v>
      </c>
      <c r="G6" s="46">
        <v>145</v>
      </c>
      <c r="H6" s="46" t="s">
        <v>53</v>
      </c>
      <c r="I6" s="46">
        <v>46.896551724137929</v>
      </c>
      <c r="J6" s="1" t="s">
        <v>6</v>
      </c>
      <c r="K6" s="46">
        <v>46.896551724137929</v>
      </c>
      <c r="L6" s="1">
        <v>1</v>
      </c>
      <c r="M6" s="46">
        <v>1</v>
      </c>
      <c r="N6" s="46">
        <v>2</v>
      </c>
    </row>
    <row r="7" spans="1:14" x14ac:dyDescent="0.2">
      <c r="A7" s="46" t="s">
        <v>49</v>
      </c>
      <c r="B7" s="46">
        <v>1707</v>
      </c>
      <c r="C7" s="46" t="s">
        <v>57</v>
      </c>
      <c r="D7" s="46">
        <v>26</v>
      </c>
      <c r="E7" s="46">
        <v>55</v>
      </c>
      <c r="F7" s="46">
        <v>81</v>
      </c>
      <c r="G7" s="46">
        <v>244</v>
      </c>
      <c r="H7" s="46" t="s">
        <v>54</v>
      </c>
      <c r="I7" s="46">
        <v>33.196721311475407</v>
      </c>
      <c r="J7" s="1" t="s">
        <v>6</v>
      </c>
      <c r="K7" s="46">
        <v>33.196721311475407</v>
      </c>
      <c r="L7" s="1">
        <v>1</v>
      </c>
      <c r="M7" s="46">
        <v>2</v>
      </c>
      <c r="N7" s="46">
        <v>2</v>
      </c>
    </row>
    <row r="8" spans="1:14" x14ac:dyDescent="0.2">
      <c r="A8" s="46" t="s">
        <v>49</v>
      </c>
      <c r="B8" s="46">
        <v>2153</v>
      </c>
      <c r="C8" s="46" t="s">
        <v>57</v>
      </c>
      <c r="D8" s="46">
        <v>9</v>
      </c>
      <c r="E8" s="46">
        <v>31</v>
      </c>
      <c r="F8" s="46">
        <v>40</v>
      </c>
      <c r="G8" s="46">
        <v>156</v>
      </c>
      <c r="H8" s="46" t="s">
        <v>54</v>
      </c>
      <c r="I8" s="46">
        <v>25.641025641025639</v>
      </c>
      <c r="J8" s="1" t="s">
        <v>6</v>
      </c>
      <c r="K8" s="46">
        <v>25.641025641025639</v>
      </c>
      <c r="L8" s="1">
        <v>1</v>
      </c>
      <c r="M8" s="46">
        <v>2</v>
      </c>
      <c r="N8" s="46">
        <v>2</v>
      </c>
    </row>
    <row r="9" spans="1:14" x14ac:dyDescent="0.2">
      <c r="A9" s="46" t="s">
        <v>49</v>
      </c>
      <c r="B9" s="46">
        <v>2748</v>
      </c>
      <c r="C9" s="46" t="s">
        <v>57</v>
      </c>
      <c r="D9" s="46">
        <v>147</v>
      </c>
      <c r="E9" s="46">
        <v>0</v>
      </c>
      <c r="F9" s="46">
        <v>147</v>
      </c>
      <c r="G9" s="46">
        <v>298</v>
      </c>
      <c r="H9" s="46" t="s">
        <v>54</v>
      </c>
      <c r="I9" s="46">
        <v>49.328859060402685</v>
      </c>
      <c r="J9" s="1" t="s">
        <v>6</v>
      </c>
      <c r="K9" s="46">
        <v>49.328859060402685</v>
      </c>
      <c r="L9" s="1">
        <v>1</v>
      </c>
      <c r="M9" s="46">
        <v>2</v>
      </c>
      <c r="N9" s="46">
        <v>2</v>
      </c>
    </row>
    <row r="10" spans="1:14" x14ac:dyDescent="0.2">
      <c r="A10" s="46" t="s">
        <v>49</v>
      </c>
      <c r="B10" s="46">
        <v>1730</v>
      </c>
      <c r="C10" s="46" t="s">
        <v>57</v>
      </c>
      <c r="D10" s="46">
        <v>202</v>
      </c>
      <c r="E10" s="46">
        <v>0</v>
      </c>
      <c r="F10" s="46">
        <v>202</v>
      </c>
      <c r="G10" s="46">
        <v>622</v>
      </c>
      <c r="H10" s="46" t="s">
        <v>55</v>
      </c>
      <c r="I10" s="46">
        <v>32.475884244372985</v>
      </c>
      <c r="J10" s="1" t="s">
        <v>6</v>
      </c>
      <c r="K10" s="46">
        <v>32.475884244372985</v>
      </c>
      <c r="L10" s="1">
        <v>1</v>
      </c>
      <c r="M10" s="46">
        <v>3</v>
      </c>
      <c r="N10" s="46">
        <v>2</v>
      </c>
    </row>
    <row r="11" spans="1:14" x14ac:dyDescent="0.2">
      <c r="A11" s="46" t="s">
        <v>49</v>
      </c>
      <c r="B11" s="46">
        <v>2370</v>
      </c>
      <c r="C11" s="46" t="s">
        <v>57</v>
      </c>
      <c r="D11" s="46">
        <v>118</v>
      </c>
      <c r="E11" s="46">
        <v>149</v>
      </c>
      <c r="F11" s="46">
        <v>267</v>
      </c>
      <c r="G11" s="46">
        <v>702</v>
      </c>
      <c r="H11" s="46" t="s">
        <v>55</v>
      </c>
      <c r="I11" s="46">
        <v>38.034188034188034</v>
      </c>
      <c r="J11" s="1" t="s">
        <v>6</v>
      </c>
      <c r="K11" s="46">
        <v>38.034188034188034</v>
      </c>
      <c r="L11" s="1">
        <v>1</v>
      </c>
      <c r="M11" s="46">
        <v>3</v>
      </c>
      <c r="N11" s="46">
        <v>2</v>
      </c>
    </row>
    <row r="12" spans="1:14" x14ac:dyDescent="0.2">
      <c r="A12" s="46" t="s">
        <v>49</v>
      </c>
      <c r="B12" s="46">
        <v>2507</v>
      </c>
      <c r="C12" s="46" t="s">
        <v>57</v>
      </c>
      <c r="D12" s="46">
        <v>159</v>
      </c>
      <c r="E12" s="46">
        <v>28</v>
      </c>
      <c r="F12" s="46">
        <v>187</v>
      </c>
      <c r="G12" s="46">
        <v>565</v>
      </c>
      <c r="H12" s="46" t="s">
        <v>55</v>
      </c>
      <c r="I12" s="46">
        <v>33.097345132743364</v>
      </c>
      <c r="J12" s="1" t="s">
        <v>6</v>
      </c>
      <c r="K12" s="46">
        <v>33.097345132743364</v>
      </c>
      <c r="L12" s="1">
        <v>1</v>
      </c>
      <c r="M12" s="46">
        <v>3</v>
      </c>
      <c r="N12" s="46">
        <v>2</v>
      </c>
    </row>
    <row r="13" spans="1:14" x14ac:dyDescent="0.2">
      <c r="A13" s="46" t="s">
        <v>49</v>
      </c>
      <c r="B13" s="46">
        <v>2806</v>
      </c>
      <c r="C13" s="46" t="s">
        <v>57</v>
      </c>
      <c r="D13" s="46">
        <v>67</v>
      </c>
      <c r="E13" s="46">
        <v>10</v>
      </c>
      <c r="F13" s="46">
        <v>77</v>
      </c>
      <c r="G13" s="46">
        <v>320</v>
      </c>
      <c r="H13" s="46" t="s">
        <v>55</v>
      </c>
      <c r="I13" s="46">
        <v>24.0625</v>
      </c>
      <c r="J13" s="1" t="s">
        <v>6</v>
      </c>
      <c r="K13" s="46">
        <v>24.0625</v>
      </c>
      <c r="L13" s="1">
        <v>1</v>
      </c>
      <c r="M13" s="46">
        <v>3</v>
      </c>
      <c r="N13" s="46">
        <v>2</v>
      </c>
    </row>
    <row r="14" spans="1:14" x14ac:dyDescent="0.2">
      <c r="A14" s="46" t="s">
        <v>49</v>
      </c>
      <c r="B14" s="46">
        <v>3774</v>
      </c>
      <c r="C14" s="46" t="s">
        <v>58</v>
      </c>
      <c r="D14" s="46">
        <v>204</v>
      </c>
      <c r="E14" s="46">
        <v>0</v>
      </c>
      <c r="F14" s="46">
        <v>204</v>
      </c>
      <c r="G14" s="46">
        <v>457</v>
      </c>
      <c r="H14" s="46" t="s">
        <v>55</v>
      </c>
      <c r="I14" s="46">
        <v>44.63894967177243</v>
      </c>
      <c r="J14" s="1" t="s">
        <v>6</v>
      </c>
      <c r="K14" s="46">
        <v>44.63894967177243</v>
      </c>
      <c r="L14" s="1">
        <v>1</v>
      </c>
      <c r="M14" s="46">
        <v>3</v>
      </c>
      <c r="N14" s="46">
        <v>3</v>
      </c>
    </row>
    <row r="15" spans="1:14" x14ac:dyDescent="0.2">
      <c r="A15" s="46" t="s">
        <v>49</v>
      </c>
      <c r="B15" s="46">
        <v>1498</v>
      </c>
      <c r="C15" s="46" t="s">
        <v>56</v>
      </c>
      <c r="D15" s="46">
        <v>26</v>
      </c>
      <c r="E15" s="46">
        <v>46</v>
      </c>
      <c r="F15" s="46">
        <v>72</v>
      </c>
      <c r="G15" s="46">
        <v>107</v>
      </c>
      <c r="H15" s="46" t="s">
        <v>53</v>
      </c>
      <c r="I15" s="46">
        <v>67.289719626168221</v>
      </c>
      <c r="J15" s="1" t="s">
        <v>7</v>
      </c>
      <c r="K15" s="46">
        <v>67.289719626168221</v>
      </c>
      <c r="L15" s="46">
        <v>2</v>
      </c>
      <c r="M15" s="46">
        <v>1</v>
      </c>
      <c r="N15" s="46">
        <v>1</v>
      </c>
    </row>
    <row r="16" spans="1:14" x14ac:dyDescent="0.2">
      <c r="A16" s="46" t="s">
        <v>49</v>
      </c>
      <c r="B16" s="46">
        <v>2411</v>
      </c>
      <c r="C16" s="46" t="s">
        <v>57</v>
      </c>
      <c r="D16" s="46">
        <v>40</v>
      </c>
      <c r="E16" s="46">
        <v>0</v>
      </c>
      <c r="F16" s="46">
        <v>40</v>
      </c>
      <c r="G16" s="46">
        <v>77</v>
      </c>
      <c r="H16" s="46" t="s">
        <v>53</v>
      </c>
      <c r="I16" s="46">
        <v>51.94805194805194</v>
      </c>
      <c r="J16" s="1" t="s">
        <v>7</v>
      </c>
      <c r="K16" s="46">
        <v>51.94805194805194</v>
      </c>
      <c r="L16" s="46">
        <v>2</v>
      </c>
      <c r="M16" s="46">
        <v>1</v>
      </c>
      <c r="N16" s="46">
        <v>2</v>
      </c>
    </row>
    <row r="17" spans="1:14" x14ac:dyDescent="0.2">
      <c r="A17" s="46" t="s">
        <v>49</v>
      </c>
      <c r="B17" s="46">
        <v>2442</v>
      </c>
      <c r="C17" s="46" t="s">
        <v>57</v>
      </c>
      <c r="D17" s="46">
        <v>32</v>
      </c>
      <c r="E17" s="46">
        <v>0</v>
      </c>
      <c r="F17" s="46">
        <v>32</v>
      </c>
      <c r="G17" s="46">
        <v>57</v>
      </c>
      <c r="H17" s="46" t="s">
        <v>53</v>
      </c>
      <c r="I17" s="46">
        <v>56.140350877192979</v>
      </c>
      <c r="J17" s="1" t="s">
        <v>7</v>
      </c>
      <c r="K17" s="46">
        <v>56.140350877192979</v>
      </c>
      <c r="L17" s="46">
        <v>2</v>
      </c>
      <c r="M17" s="46">
        <v>1</v>
      </c>
      <c r="N17" s="46">
        <v>2</v>
      </c>
    </row>
    <row r="18" spans="1:14" x14ac:dyDescent="0.2">
      <c r="A18" s="46" t="s">
        <v>49</v>
      </c>
      <c r="B18" s="46">
        <v>1281</v>
      </c>
      <c r="C18" s="46" t="s">
        <v>56</v>
      </c>
      <c r="D18" s="46">
        <v>68</v>
      </c>
      <c r="E18" s="46">
        <v>21</v>
      </c>
      <c r="F18" s="46">
        <v>89</v>
      </c>
      <c r="G18" s="46">
        <v>153</v>
      </c>
      <c r="H18" s="46" t="s">
        <v>54</v>
      </c>
      <c r="I18" s="46">
        <v>58.169934640522882</v>
      </c>
      <c r="J18" s="1" t="s">
        <v>7</v>
      </c>
      <c r="K18" s="46">
        <v>58.169934640522882</v>
      </c>
      <c r="L18" s="46">
        <v>2</v>
      </c>
      <c r="M18" s="46">
        <v>2</v>
      </c>
      <c r="N18" s="46">
        <v>1</v>
      </c>
    </row>
    <row r="19" spans="1:14" x14ac:dyDescent="0.2">
      <c r="A19" s="46" t="s">
        <v>49</v>
      </c>
      <c r="B19" s="46">
        <v>2906</v>
      </c>
      <c r="C19" s="46" t="s">
        <v>57</v>
      </c>
      <c r="D19" s="46">
        <v>156</v>
      </c>
      <c r="E19" s="46">
        <v>0</v>
      </c>
      <c r="F19" s="46">
        <v>156</v>
      </c>
      <c r="G19" s="46">
        <v>283</v>
      </c>
      <c r="H19" s="46" t="s">
        <v>54</v>
      </c>
      <c r="I19" s="46">
        <v>55.123674911660778</v>
      </c>
      <c r="J19" s="1" t="s">
        <v>7</v>
      </c>
      <c r="K19" s="46">
        <v>55.123674911660778</v>
      </c>
      <c r="L19" s="46">
        <v>2</v>
      </c>
      <c r="M19" s="46">
        <v>2</v>
      </c>
      <c r="N19" s="46">
        <v>2</v>
      </c>
    </row>
    <row r="20" spans="1:14" x14ac:dyDescent="0.2">
      <c r="A20" s="46" t="s">
        <v>49</v>
      </c>
      <c r="B20" s="46">
        <v>3079</v>
      </c>
      <c r="C20" s="46" t="s">
        <v>58</v>
      </c>
      <c r="D20" s="46">
        <v>193</v>
      </c>
      <c r="E20" s="46">
        <v>0</v>
      </c>
      <c r="F20" s="46">
        <v>193</v>
      </c>
      <c r="G20" s="46">
        <v>285</v>
      </c>
      <c r="H20" s="46" t="s">
        <v>54</v>
      </c>
      <c r="I20" s="46">
        <v>67.719298245614041</v>
      </c>
      <c r="J20" s="1" t="s">
        <v>7</v>
      </c>
      <c r="K20" s="46">
        <v>67.719298245614041</v>
      </c>
      <c r="L20" s="46">
        <v>2</v>
      </c>
      <c r="M20" s="46">
        <v>2</v>
      </c>
      <c r="N20" s="46">
        <v>3</v>
      </c>
    </row>
    <row r="21" spans="1:14" x14ac:dyDescent="0.2">
      <c r="A21" s="46" t="s">
        <v>49</v>
      </c>
      <c r="B21" s="46">
        <v>3171</v>
      </c>
      <c r="C21" s="46" t="s">
        <v>58</v>
      </c>
      <c r="D21" s="46">
        <v>116</v>
      </c>
      <c r="E21" s="46">
        <v>24</v>
      </c>
      <c r="F21" s="46">
        <v>140</v>
      </c>
      <c r="G21" s="46">
        <v>220</v>
      </c>
      <c r="H21" s="46" t="s">
        <v>54</v>
      </c>
      <c r="I21" s="46">
        <v>63.636363636363633</v>
      </c>
      <c r="J21" s="1" t="s">
        <v>7</v>
      </c>
      <c r="K21" s="46">
        <v>63.636363636363633</v>
      </c>
      <c r="L21" s="46">
        <v>2</v>
      </c>
      <c r="M21" s="46">
        <v>2</v>
      </c>
      <c r="N21" s="46">
        <v>3</v>
      </c>
    </row>
    <row r="22" spans="1:14" x14ac:dyDescent="0.2">
      <c r="A22" s="46" t="s">
        <v>49</v>
      </c>
      <c r="B22" s="46">
        <v>3821</v>
      </c>
      <c r="C22" s="46" t="s">
        <v>58</v>
      </c>
      <c r="D22" s="46">
        <v>137</v>
      </c>
      <c r="E22" s="46">
        <v>0</v>
      </c>
      <c r="F22" s="46">
        <v>137</v>
      </c>
      <c r="G22" s="46">
        <v>189</v>
      </c>
      <c r="H22" s="46" t="s">
        <v>54</v>
      </c>
      <c r="I22" s="46">
        <v>72.486772486772495</v>
      </c>
      <c r="J22" s="1" t="s">
        <v>7</v>
      </c>
      <c r="K22" s="46">
        <v>72.486772486772495</v>
      </c>
      <c r="L22" s="46">
        <v>2</v>
      </c>
      <c r="M22" s="46">
        <v>2</v>
      </c>
      <c r="N22" s="46">
        <v>3</v>
      </c>
    </row>
    <row r="23" spans="1:14" x14ac:dyDescent="0.2">
      <c r="A23" s="46" t="s">
        <v>49</v>
      </c>
      <c r="B23" s="46">
        <v>1601</v>
      </c>
      <c r="C23" s="46" t="s">
        <v>57</v>
      </c>
      <c r="D23" s="46">
        <v>214</v>
      </c>
      <c r="E23" s="46">
        <v>0</v>
      </c>
      <c r="F23" s="46">
        <v>214</v>
      </c>
      <c r="G23" s="46">
        <v>300</v>
      </c>
      <c r="H23" s="46" t="s">
        <v>55</v>
      </c>
      <c r="I23" s="46">
        <v>71.333333333333343</v>
      </c>
      <c r="J23" s="1" t="s">
        <v>7</v>
      </c>
      <c r="K23" s="46">
        <v>71.333333333333343</v>
      </c>
      <c r="L23" s="46">
        <v>2</v>
      </c>
      <c r="M23" s="46">
        <v>3</v>
      </c>
      <c r="N23" s="46">
        <v>2</v>
      </c>
    </row>
    <row r="24" spans="1:14" x14ac:dyDescent="0.2">
      <c r="A24" s="46" t="s">
        <v>49</v>
      </c>
      <c r="B24" s="46">
        <v>1906</v>
      </c>
      <c r="C24" s="46" t="s">
        <v>57</v>
      </c>
      <c r="D24" s="46">
        <v>42</v>
      </c>
      <c r="E24" s="46">
        <v>136</v>
      </c>
      <c r="F24" s="46">
        <v>178</v>
      </c>
      <c r="G24" s="46">
        <v>305</v>
      </c>
      <c r="H24" s="46" t="s">
        <v>55</v>
      </c>
      <c r="I24" s="46">
        <v>58.360655737704917</v>
      </c>
      <c r="J24" s="1" t="s">
        <v>7</v>
      </c>
      <c r="K24" s="46">
        <v>58.360655737704917</v>
      </c>
      <c r="L24" s="46">
        <v>2</v>
      </c>
      <c r="M24" s="46">
        <v>3</v>
      </c>
      <c r="N24" s="46">
        <v>2</v>
      </c>
    </row>
    <row r="25" spans="1:14" x14ac:dyDescent="0.2">
      <c r="A25" s="46" t="s">
        <v>49</v>
      </c>
      <c r="B25" s="46">
        <v>2967</v>
      </c>
      <c r="C25" s="46" t="s">
        <v>57</v>
      </c>
      <c r="D25" s="46">
        <v>288</v>
      </c>
      <c r="E25" s="46">
        <v>40</v>
      </c>
      <c r="F25" s="46">
        <v>328</v>
      </c>
      <c r="G25" s="46">
        <v>643</v>
      </c>
      <c r="H25" s="46" t="s">
        <v>55</v>
      </c>
      <c r="I25" s="46">
        <v>51.010886469673409</v>
      </c>
      <c r="J25" s="1" t="s">
        <v>7</v>
      </c>
      <c r="K25" s="46">
        <v>51.010886469673409</v>
      </c>
      <c r="L25" s="46">
        <v>2</v>
      </c>
      <c r="M25" s="46">
        <v>3</v>
      </c>
      <c r="N25" s="46">
        <v>2</v>
      </c>
    </row>
    <row r="26" spans="1:14" x14ac:dyDescent="0.2">
      <c r="A26" s="46" t="s">
        <v>49</v>
      </c>
      <c r="B26" s="46">
        <v>3257</v>
      </c>
      <c r="C26" s="46" t="s">
        <v>58</v>
      </c>
      <c r="D26" s="46">
        <v>153</v>
      </c>
      <c r="E26" s="46">
        <v>166</v>
      </c>
      <c r="F26" s="46">
        <v>319</v>
      </c>
      <c r="G26" s="46">
        <v>520</v>
      </c>
      <c r="H26" s="46" t="s">
        <v>55</v>
      </c>
      <c r="I26" s="46">
        <v>61.346153846153854</v>
      </c>
      <c r="J26" s="1" t="s">
        <v>7</v>
      </c>
      <c r="K26" s="46">
        <v>61.346153846153854</v>
      </c>
      <c r="L26" s="46">
        <v>2</v>
      </c>
      <c r="M26" s="46">
        <v>3</v>
      </c>
      <c r="N26" s="46">
        <v>3</v>
      </c>
    </row>
    <row r="27" spans="1:14" x14ac:dyDescent="0.2">
      <c r="A27" s="46" t="s">
        <v>49</v>
      </c>
      <c r="B27" s="46">
        <v>3377</v>
      </c>
      <c r="C27" s="46" t="s">
        <v>58</v>
      </c>
      <c r="D27" s="46">
        <v>368</v>
      </c>
      <c r="E27" s="46">
        <v>0</v>
      </c>
      <c r="F27" s="46">
        <v>368</v>
      </c>
      <c r="G27" s="46">
        <v>500</v>
      </c>
      <c r="H27" s="46" t="s">
        <v>55</v>
      </c>
      <c r="I27" s="46">
        <v>73.599999999999994</v>
      </c>
      <c r="J27" s="1" t="s">
        <v>7</v>
      </c>
      <c r="K27" s="46">
        <v>73.599999999999994</v>
      </c>
      <c r="L27" s="46">
        <v>2</v>
      </c>
      <c r="M27" s="46">
        <v>3</v>
      </c>
      <c r="N27" s="46">
        <v>3</v>
      </c>
    </row>
    <row r="28" spans="1:14" x14ac:dyDescent="0.2">
      <c r="A28" s="46" t="s">
        <v>49</v>
      </c>
      <c r="B28" s="46">
        <v>3500</v>
      </c>
      <c r="C28" s="46" t="s">
        <v>58</v>
      </c>
      <c r="D28" s="46">
        <v>371</v>
      </c>
      <c r="E28" s="46">
        <v>0</v>
      </c>
      <c r="F28" s="46">
        <v>371</v>
      </c>
      <c r="G28" s="46">
        <v>575</v>
      </c>
      <c r="H28" s="46" t="s">
        <v>55</v>
      </c>
      <c r="I28" s="46">
        <v>64.521739130434781</v>
      </c>
      <c r="J28" s="1" t="s">
        <v>7</v>
      </c>
      <c r="K28" s="46">
        <v>64.521739130434781</v>
      </c>
      <c r="L28" s="46">
        <v>2</v>
      </c>
      <c r="M28" s="46">
        <v>3</v>
      </c>
      <c r="N28" s="46">
        <v>3</v>
      </c>
    </row>
    <row r="29" spans="1:14" x14ac:dyDescent="0.2">
      <c r="A29" s="46" t="s">
        <v>49</v>
      </c>
      <c r="B29" s="46">
        <v>3744</v>
      </c>
      <c r="C29" s="46" t="s">
        <v>58</v>
      </c>
      <c r="D29" s="46">
        <v>212</v>
      </c>
      <c r="E29" s="46">
        <v>0</v>
      </c>
      <c r="F29" s="46">
        <v>212</v>
      </c>
      <c r="G29" s="46">
        <v>302</v>
      </c>
      <c r="H29" s="46" t="s">
        <v>55</v>
      </c>
      <c r="I29" s="46">
        <v>70.19867549668875</v>
      </c>
      <c r="J29" s="1" t="s">
        <v>7</v>
      </c>
      <c r="K29" s="46">
        <v>70.19867549668875</v>
      </c>
      <c r="L29" s="46">
        <v>2</v>
      </c>
      <c r="M29" s="46">
        <v>3</v>
      </c>
      <c r="N29" s="46">
        <v>3</v>
      </c>
    </row>
    <row r="30" spans="1:14" x14ac:dyDescent="0.2">
      <c r="A30" s="46" t="s">
        <v>49</v>
      </c>
      <c r="B30" s="46">
        <v>3819</v>
      </c>
      <c r="C30" s="46" t="s">
        <v>58</v>
      </c>
      <c r="D30" s="46">
        <v>254</v>
      </c>
      <c r="E30" s="46">
        <v>0</v>
      </c>
      <c r="F30" s="46">
        <v>254</v>
      </c>
      <c r="G30" s="46">
        <v>400</v>
      </c>
      <c r="H30" s="46" t="s">
        <v>55</v>
      </c>
      <c r="I30" s="46">
        <v>63.5</v>
      </c>
      <c r="J30" s="1" t="s">
        <v>7</v>
      </c>
      <c r="K30" s="46">
        <v>63.5</v>
      </c>
      <c r="L30" s="46">
        <v>2</v>
      </c>
      <c r="M30" s="46">
        <v>3</v>
      </c>
      <c r="N30" s="46">
        <v>3</v>
      </c>
    </row>
    <row r="31" spans="1:14" x14ac:dyDescent="0.2">
      <c r="A31" s="46" t="s">
        <v>49</v>
      </c>
      <c r="B31" s="46">
        <v>1434</v>
      </c>
      <c r="C31" s="46" t="s">
        <v>56</v>
      </c>
      <c r="D31" s="46">
        <v>26</v>
      </c>
      <c r="E31" s="46">
        <v>36</v>
      </c>
      <c r="F31" s="46">
        <v>62</v>
      </c>
      <c r="G31" s="46">
        <v>76</v>
      </c>
      <c r="H31" s="46" t="s">
        <v>53</v>
      </c>
      <c r="I31" s="46">
        <v>81.578947368421055</v>
      </c>
      <c r="J31" s="1" t="s">
        <v>8</v>
      </c>
      <c r="K31" s="46">
        <v>81.578947368421055</v>
      </c>
      <c r="L31" s="46">
        <v>3</v>
      </c>
      <c r="M31" s="46">
        <v>1</v>
      </c>
      <c r="N31" s="46">
        <v>1</v>
      </c>
    </row>
    <row r="32" spans="1:14" x14ac:dyDescent="0.2">
      <c r="A32" s="46" t="s">
        <v>49</v>
      </c>
      <c r="B32" s="46">
        <v>2443</v>
      </c>
      <c r="C32" s="46" t="s">
        <v>57</v>
      </c>
      <c r="D32" s="46">
        <v>15</v>
      </c>
      <c r="E32" s="46">
        <v>0</v>
      </c>
      <c r="F32" s="46">
        <v>15</v>
      </c>
      <c r="G32" s="46">
        <v>16</v>
      </c>
      <c r="H32" s="46" t="s">
        <v>53</v>
      </c>
      <c r="I32" s="46">
        <v>93.75</v>
      </c>
      <c r="J32" s="1" t="s">
        <v>8</v>
      </c>
      <c r="K32" s="46">
        <v>93.75</v>
      </c>
      <c r="L32" s="46">
        <v>3</v>
      </c>
      <c r="M32" s="46">
        <v>1</v>
      </c>
      <c r="N32" s="46">
        <v>2</v>
      </c>
    </row>
    <row r="33" spans="1:14" x14ac:dyDescent="0.2">
      <c r="A33" s="46" t="s">
        <v>49</v>
      </c>
      <c r="B33" s="46">
        <v>3664</v>
      </c>
      <c r="C33" s="46" t="s">
        <v>58</v>
      </c>
      <c r="D33" s="46">
        <v>65</v>
      </c>
      <c r="E33" s="46">
        <v>0</v>
      </c>
      <c r="F33" s="46">
        <v>65</v>
      </c>
      <c r="G33" s="46">
        <v>75</v>
      </c>
      <c r="H33" s="46" t="s">
        <v>53</v>
      </c>
      <c r="I33" s="46">
        <v>86.666666666666671</v>
      </c>
      <c r="J33" s="1" t="s">
        <v>8</v>
      </c>
      <c r="K33" s="46">
        <v>86.666666666666671</v>
      </c>
      <c r="L33" s="46">
        <v>3</v>
      </c>
      <c r="M33" s="46">
        <v>1</v>
      </c>
      <c r="N33" s="46">
        <v>3</v>
      </c>
    </row>
    <row r="34" spans="1:14" x14ac:dyDescent="0.2">
      <c r="A34" s="46" t="s">
        <v>49</v>
      </c>
      <c r="B34" s="46">
        <v>1434</v>
      </c>
      <c r="C34" s="46" t="s">
        <v>56</v>
      </c>
      <c r="D34" s="46">
        <v>25</v>
      </c>
      <c r="E34" s="46">
        <v>121</v>
      </c>
      <c r="F34" s="46">
        <v>146</v>
      </c>
      <c r="G34" s="46">
        <v>168</v>
      </c>
      <c r="H34" s="46" t="s">
        <v>54</v>
      </c>
      <c r="I34" s="46">
        <v>86.904761904761912</v>
      </c>
      <c r="J34" s="1" t="s">
        <v>8</v>
      </c>
      <c r="K34" s="46">
        <v>86.904761904761912</v>
      </c>
      <c r="L34" s="46">
        <v>3</v>
      </c>
      <c r="M34" s="46">
        <v>2</v>
      </c>
      <c r="N34" s="46">
        <v>1</v>
      </c>
    </row>
    <row r="35" spans="1:14" x14ac:dyDescent="0.2">
      <c r="A35" s="46" t="s">
        <v>49</v>
      </c>
      <c r="B35" s="46">
        <v>1864</v>
      </c>
      <c r="C35" s="46" t="s">
        <v>57</v>
      </c>
      <c r="D35" s="46">
        <v>30</v>
      </c>
      <c r="E35" s="46">
        <v>226</v>
      </c>
      <c r="F35" s="46">
        <v>256</v>
      </c>
      <c r="G35" s="46">
        <v>295</v>
      </c>
      <c r="H35" s="46" t="s">
        <v>54</v>
      </c>
      <c r="I35" s="46">
        <v>86.779661016949149</v>
      </c>
      <c r="J35" s="1" t="s">
        <v>8</v>
      </c>
      <c r="K35" s="46">
        <v>86.779661016949149</v>
      </c>
      <c r="L35" s="46">
        <v>3</v>
      </c>
      <c r="M35" s="46">
        <v>2</v>
      </c>
      <c r="N35" s="46">
        <v>2</v>
      </c>
    </row>
    <row r="36" spans="1:14" x14ac:dyDescent="0.2">
      <c r="A36" s="46" t="s">
        <v>49</v>
      </c>
      <c r="B36" s="46">
        <v>2027</v>
      </c>
      <c r="C36" s="46" t="s">
        <v>57</v>
      </c>
      <c r="D36" s="46">
        <v>168</v>
      </c>
      <c r="E36" s="46">
        <v>0</v>
      </c>
      <c r="F36" s="46">
        <v>168</v>
      </c>
      <c r="G36" s="46">
        <v>175</v>
      </c>
      <c r="H36" s="46" t="s">
        <v>54</v>
      </c>
      <c r="I36" s="46">
        <v>96</v>
      </c>
      <c r="J36" s="1" t="s">
        <v>8</v>
      </c>
      <c r="K36" s="46">
        <v>96</v>
      </c>
      <c r="L36" s="46">
        <v>3</v>
      </c>
      <c r="M36" s="46">
        <v>2</v>
      </c>
      <c r="N36" s="46">
        <v>2</v>
      </c>
    </row>
    <row r="37" spans="1:14" x14ac:dyDescent="0.2">
      <c r="A37" s="46" t="s">
        <v>49</v>
      </c>
      <c r="B37" s="46">
        <v>2062</v>
      </c>
      <c r="C37" s="46" t="s">
        <v>57</v>
      </c>
      <c r="D37" s="46">
        <v>171</v>
      </c>
      <c r="E37" s="46">
        <v>0</v>
      </c>
      <c r="F37" s="46">
        <v>171</v>
      </c>
      <c r="G37" s="46">
        <v>180</v>
      </c>
      <c r="H37" s="46" t="s">
        <v>54</v>
      </c>
      <c r="I37" s="46">
        <v>95</v>
      </c>
      <c r="J37" s="1" t="s">
        <v>8</v>
      </c>
      <c r="K37" s="46">
        <v>95</v>
      </c>
      <c r="L37" s="46">
        <v>3</v>
      </c>
      <c r="M37" s="46">
        <v>2</v>
      </c>
      <c r="N37" s="46">
        <v>2</v>
      </c>
    </row>
    <row r="38" spans="1:14" x14ac:dyDescent="0.2">
      <c r="A38" s="46" t="s">
        <v>49</v>
      </c>
      <c r="B38" s="46">
        <v>2118</v>
      </c>
      <c r="C38" s="46" t="s">
        <v>57</v>
      </c>
      <c r="D38" s="46">
        <v>74</v>
      </c>
      <c r="E38" s="46">
        <v>115</v>
      </c>
      <c r="F38" s="46">
        <v>189</v>
      </c>
      <c r="G38" s="46">
        <v>191</v>
      </c>
      <c r="H38" s="46" t="s">
        <v>54</v>
      </c>
      <c r="I38" s="46">
        <v>98.952879581151834</v>
      </c>
      <c r="J38" s="1" t="s">
        <v>8</v>
      </c>
      <c r="K38" s="46">
        <v>98.952879581151834</v>
      </c>
      <c r="L38" s="46">
        <v>3</v>
      </c>
      <c r="M38" s="46">
        <v>2</v>
      </c>
      <c r="N38" s="46">
        <v>2</v>
      </c>
    </row>
    <row r="39" spans="1:14" x14ac:dyDescent="0.2">
      <c r="A39" s="46" t="s">
        <v>49</v>
      </c>
      <c r="B39" s="46">
        <v>2292</v>
      </c>
      <c r="C39" s="46" t="s">
        <v>57</v>
      </c>
      <c r="D39" s="46">
        <v>142</v>
      </c>
      <c r="E39" s="46">
        <v>9</v>
      </c>
      <c r="F39" s="46">
        <v>151</v>
      </c>
      <c r="G39" s="46">
        <v>160</v>
      </c>
      <c r="H39" s="46" t="s">
        <v>54</v>
      </c>
      <c r="I39" s="46">
        <v>94.375</v>
      </c>
      <c r="J39" s="1" t="s">
        <v>8</v>
      </c>
      <c r="K39" s="46">
        <v>94.375</v>
      </c>
      <c r="L39" s="46">
        <v>3</v>
      </c>
      <c r="M39" s="46">
        <v>2</v>
      </c>
      <c r="N39" s="46">
        <v>2</v>
      </c>
    </row>
    <row r="40" spans="1:14" x14ac:dyDescent="0.2">
      <c r="A40" s="46" t="s">
        <v>49</v>
      </c>
      <c r="B40" s="46">
        <v>3197</v>
      </c>
      <c r="C40" s="46" t="s">
        <v>58</v>
      </c>
      <c r="D40" s="46">
        <v>66</v>
      </c>
      <c r="E40" s="46">
        <v>104</v>
      </c>
      <c r="F40" s="46">
        <v>170</v>
      </c>
      <c r="G40" s="46">
        <v>180</v>
      </c>
      <c r="H40" s="46" t="s">
        <v>54</v>
      </c>
      <c r="I40" s="46">
        <v>94.444444444444443</v>
      </c>
      <c r="J40" s="1" t="s">
        <v>8</v>
      </c>
      <c r="K40" s="46">
        <v>94.444444444444443</v>
      </c>
      <c r="L40" s="46">
        <v>3</v>
      </c>
      <c r="M40" s="46">
        <v>2</v>
      </c>
      <c r="N40" s="46">
        <v>3</v>
      </c>
    </row>
    <row r="41" spans="1:14" x14ac:dyDescent="0.2">
      <c r="A41" s="46" t="s">
        <v>49</v>
      </c>
      <c r="B41" s="46">
        <v>3214</v>
      </c>
      <c r="C41" s="46" t="s">
        <v>58</v>
      </c>
      <c r="D41" s="46">
        <v>159</v>
      </c>
      <c r="E41" s="46">
        <v>21</v>
      </c>
      <c r="F41" s="46">
        <v>180</v>
      </c>
      <c r="G41" s="46">
        <v>200</v>
      </c>
      <c r="H41" s="46" t="s">
        <v>54</v>
      </c>
      <c r="I41" s="46">
        <v>90</v>
      </c>
      <c r="J41" s="2">
        <v>1</v>
      </c>
      <c r="K41" s="46">
        <v>90</v>
      </c>
      <c r="L41" s="46">
        <v>3</v>
      </c>
      <c r="M41" s="46">
        <v>2</v>
      </c>
      <c r="N41" s="46">
        <v>3</v>
      </c>
    </row>
    <row r="42" spans="1:14" x14ac:dyDescent="0.2">
      <c r="A42" s="46" t="s">
        <v>49</v>
      </c>
      <c r="B42" s="46">
        <v>3227</v>
      </c>
      <c r="C42" s="46" t="s">
        <v>58</v>
      </c>
      <c r="D42" s="46">
        <v>113</v>
      </c>
      <c r="E42" s="46">
        <v>47</v>
      </c>
      <c r="F42" s="46">
        <v>160</v>
      </c>
      <c r="G42" s="46">
        <v>195</v>
      </c>
      <c r="H42" s="46" t="s">
        <v>54</v>
      </c>
      <c r="I42" s="46">
        <v>82.051282051282044</v>
      </c>
      <c r="J42" s="1" t="s">
        <v>8</v>
      </c>
      <c r="K42" s="46">
        <v>82.051282051282044</v>
      </c>
      <c r="L42" s="46">
        <v>3</v>
      </c>
      <c r="M42" s="46">
        <v>2</v>
      </c>
      <c r="N42" s="46">
        <v>3</v>
      </c>
    </row>
    <row r="43" spans="1:14" x14ac:dyDescent="0.2">
      <c r="A43" s="46" t="s">
        <v>49</v>
      </c>
      <c r="B43" s="46">
        <v>3277</v>
      </c>
      <c r="C43" s="46" t="s">
        <v>58</v>
      </c>
      <c r="D43" s="46">
        <v>137</v>
      </c>
      <c r="E43" s="46">
        <v>0</v>
      </c>
      <c r="F43" s="46">
        <v>137</v>
      </c>
      <c r="G43" s="46">
        <v>150</v>
      </c>
      <c r="H43" s="46" t="s">
        <v>54</v>
      </c>
      <c r="I43" s="46">
        <v>91.333333333333329</v>
      </c>
      <c r="J43" s="1" t="s">
        <v>8</v>
      </c>
      <c r="K43" s="46">
        <v>91.333333333333329</v>
      </c>
      <c r="L43" s="46">
        <v>3</v>
      </c>
      <c r="M43" s="46">
        <v>2</v>
      </c>
      <c r="N43" s="46">
        <v>3</v>
      </c>
    </row>
    <row r="44" spans="1:14" x14ac:dyDescent="0.2">
      <c r="A44" s="46" t="s">
        <v>49</v>
      </c>
      <c r="B44" s="46">
        <v>3560</v>
      </c>
      <c r="C44" s="46" t="s">
        <v>58</v>
      </c>
      <c r="D44" s="46">
        <v>48</v>
      </c>
      <c r="E44" s="46">
        <v>100</v>
      </c>
      <c r="F44" s="46">
        <v>148</v>
      </c>
      <c r="G44" s="46">
        <v>150</v>
      </c>
      <c r="H44" s="46" t="s">
        <v>54</v>
      </c>
      <c r="I44" s="46">
        <v>98.666666666666671</v>
      </c>
      <c r="J44" s="1" t="s">
        <v>8</v>
      </c>
      <c r="K44" s="46">
        <v>98.666666666666671</v>
      </c>
      <c r="L44" s="46">
        <v>3</v>
      </c>
      <c r="M44" s="46">
        <v>2</v>
      </c>
      <c r="N44" s="46">
        <v>3</v>
      </c>
    </row>
    <row r="45" spans="1:14" x14ac:dyDescent="0.2">
      <c r="A45" s="46" t="s">
        <v>49</v>
      </c>
      <c r="B45" s="46">
        <v>2806</v>
      </c>
      <c r="C45" s="46" t="s">
        <v>57</v>
      </c>
      <c r="D45" s="46">
        <v>358</v>
      </c>
      <c r="E45" s="46">
        <v>0</v>
      </c>
      <c r="F45" s="46">
        <v>358</v>
      </c>
      <c r="G45" s="46">
        <v>430</v>
      </c>
      <c r="H45" s="46" t="s">
        <v>55</v>
      </c>
      <c r="I45" s="46">
        <v>83.255813953488371</v>
      </c>
      <c r="J45" s="1" t="s">
        <v>8</v>
      </c>
      <c r="K45" s="46">
        <v>83.255813953488371</v>
      </c>
      <c r="L45" s="46">
        <v>3</v>
      </c>
      <c r="M45" s="46">
        <v>3</v>
      </c>
      <c r="N45" s="46">
        <v>2</v>
      </c>
    </row>
    <row r="46" spans="1:14" x14ac:dyDescent="0.2">
      <c r="A46" s="46" t="s">
        <v>49</v>
      </c>
      <c r="B46" s="46">
        <v>2905</v>
      </c>
      <c r="C46" s="46" t="s">
        <v>57</v>
      </c>
      <c r="D46" s="46">
        <v>191</v>
      </c>
      <c r="E46" s="46">
        <v>172</v>
      </c>
      <c r="F46" s="46">
        <v>363</v>
      </c>
      <c r="G46" s="46">
        <v>437</v>
      </c>
      <c r="H46" s="46" t="s">
        <v>55</v>
      </c>
      <c r="I46" s="46">
        <v>83.066361556064066</v>
      </c>
      <c r="J46" s="1" t="s">
        <v>8</v>
      </c>
      <c r="K46" s="46">
        <v>83.066361556064066</v>
      </c>
      <c r="L46" s="46">
        <v>3</v>
      </c>
      <c r="M46" s="46">
        <v>3</v>
      </c>
      <c r="N46" s="46">
        <v>2</v>
      </c>
    </row>
    <row r="47" spans="1:14" x14ac:dyDescent="0.2">
      <c r="A47" s="46" t="s">
        <v>49</v>
      </c>
      <c r="B47" s="46">
        <v>3011</v>
      </c>
      <c r="C47" s="46" t="s">
        <v>58</v>
      </c>
      <c r="D47" s="46">
        <v>228</v>
      </c>
      <c r="E47" s="46">
        <v>108</v>
      </c>
      <c r="F47" s="46">
        <v>336</v>
      </c>
      <c r="G47" s="46">
        <v>376</v>
      </c>
      <c r="H47" s="46" t="s">
        <v>55</v>
      </c>
      <c r="I47" s="46">
        <v>89.361702127659569</v>
      </c>
      <c r="J47" s="1" t="s">
        <v>8</v>
      </c>
      <c r="K47" s="46">
        <v>89.361702127659569</v>
      </c>
      <c r="L47" s="46">
        <v>3</v>
      </c>
      <c r="M47" s="46">
        <v>3</v>
      </c>
      <c r="N47" s="46">
        <v>3</v>
      </c>
    </row>
    <row r="48" spans="1:14" x14ac:dyDescent="0.2">
      <c r="A48" s="46" t="s">
        <v>49</v>
      </c>
      <c r="B48" s="46">
        <v>3059</v>
      </c>
      <c r="C48" s="46" t="s">
        <v>58</v>
      </c>
      <c r="D48" s="46">
        <v>186</v>
      </c>
      <c r="E48" s="46">
        <v>120</v>
      </c>
      <c r="F48" s="46">
        <v>306</v>
      </c>
      <c r="G48" s="46">
        <v>354</v>
      </c>
      <c r="H48" s="46" t="s">
        <v>55</v>
      </c>
      <c r="I48" s="46">
        <v>86.440677966101703</v>
      </c>
      <c r="J48" s="1" t="s">
        <v>8</v>
      </c>
      <c r="K48" s="46">
        <v>86.440677966101703</v>
      </c>
      <c r="L48" s="46">
        <v>3</v>
      </c>
      <c r="M48" s="46">
        <v>3</v>
      </c>
      <c r="N48" s="46">
        <v>3</v>
      </c>
    </row>
    <row r="49" spans="1:14" x14ac:dyDescent="0.2">
      <c r="A49" s="46" t="s">
        <v>49</v>
      </c>
      <c r="B49" s="46">
        <v>3114</v>
      </c>
      <c r="C49" s="46" t="s">
        <v>58</v>
      </c>
      <c r="D49" s="46">
        <v>301</v>
      </c>
      <c r="E49" s="46">
        <v>0</v>
      </c>
      <c r="F49" s="46">
        <v>301</v>
      </c>
      <c r="G49" s="46">
        <v>360</v>
      </c>
      <c r="H49" s="46" t="s">
        <v>55</v>
      </c>
      <c r="I49" s="46">
        <v>83.611111111111114</v>
      </c>
      <c r="J49" s="1" t="s">
        <v>8</v>
      </c>
      <c r="K49" s="46">
        <v>83.611111111111114</v>
      </c>
      <c r="L49" s="46">
        <v>3</v>
      </c>
      <c r="M49" s="46">
        <v>3</v>
      </c>
      <c r="N49" s="46">
        <v>3</v>
      </c>
    </row>
    <row r="50" spans="1:14" x14ac:dyDescent="0.2">
      <c r="A50" s="46" t="s">
        <v>49</v>
      </c>
      <c r="B50" s="46">
        <v>3377</v>
      </c>
      <c r="C50" s="46" t="s">
        <v>58</v>
      </c>
      <c r="D50" s="46">
        <v>123</v>
      </c>
      <c r="E50" s="46">
        <v>192</v>
      </c>
      <c r="F50" s="46">
        <v>315</v>
      </c>
      <c r="G50" s="46">
        <v>350</v>
      </c>
      <c r="H50" s="46" t="s">
        <v>55</v>
      </c>
      <c r="I50" s="46">
        <v>90</v>
      </c>
      <c r="J50" s="1" t="s">
        <v>8</v>
      </c>
      <c r="K50" s="46">
        <v>90</v>
      </c>
      <c r="L50" s="46">
        <v>3</v>
      </c>
      <c r="M50" s="46">
        <v>3</v>
      </c>
      <c r="N50" s="46">
        <v>3</v>
      </c>
    </row>
    <row r="51" spans="1:14" x14ac:dyDescent="0.2">
      <c r="A51" s="46" t="s">
        <v>49</v>
      </c>
      <c r="B51" s="46">
        <v>3992</v>
      </c>
      <c r="C51" s="46" t="s">
        <v>58</v>
      </c>
      <c r="D51" s="46">
        <v>496</v>
      </c>
      <c r="E51" s="46">
        <v>0</v>
      </c>
      <c r="F51" s="46">
        <v>496</v>
      </c>
      <c r="G51" s="46">
        <v>500</v>
      </c>
      <c r="H51" s="46" t="s">
        <v>55</v>
      </c>
      <c r="I51" s="46">
        <v>99.2</v>
      </c>
      <c r="J51" s="1" t="s">
        <v>8</v>
      </c>
      <c r="K51" s="46">
        <v>99.2</v>
      </c>
      <c r="L51" s="46">
        <v>3</v>
      </c>
      <c r="M51" s="46">
        <v>3</v>
      </c>
      <c r="N51" s="46">
        <v>3</v>
      </c>
    </row>
    <row r="52" spans="1:14" x14ac:dyDescent="0.2">
      <c r="A52" s="46" t="s">
        <v>49</v>
      </c>
      <c r="B52" s="46">
        <v>1063</v>
      </c>
      <c r="C52" s="46" t="s">
        <v>56</v>
      </c>
      <c r="D52" s="46">
        <v>69</v>
      </c>
      <c r="E52" s="46">
        <v>0</v>
      </c>
      <c r="F52" s="46">
        <v>69</v>
      </c>
      <c r="G52" s="46">
        <v>69</v>
      </c>
      <c r="H52" s="46" t="s">
        <v>53</v>
      </c>
      <c r="I52" s="46">
        <v>100</v>
      </c>
      <c r="J52" s="2">
        <v>1</v>
      </c>
      <c r="K52" s="46">
        <v>100</v>
      </c>
      <c r="L52" s="46">
        <v>4</v>
      </c>
      <c r="M52" s="46">
        <v>1</v>
      </c>
      <c r="N52" s="46">
        <v>1</v>
      </c>
    </row>
    <row r="53" spans="1:14" x14ac:dyDescent="0.2">
      <c r="A53" s="46" t="s">
        <v>49</v>
      </c>
      <c r="B53" s="46">
        <v>1123</v>
      </c>
      <c r="C53" s="46" t="s">
        <v>56</v>
      </c>
      <c r="D53" s="46">
        <v>122</v>
      </c>
      <c r="E53" s="46">
        <v>6</v>
      </c>
      <c r="F53" s="46">
        <v>128</v>
      </c>
      <c r="G53" s="46">
        <v>128</v>
      </c>
      <c r="H53" s="46" t="s">
        <v>53</v>
      </c>
      <c r="I53" s="46">
        <v>100</v>
      </c>
      <c r="J53" s="2">
        <v>1</v>
      </c>
      <c r="K53" s="46">
        <v>100</v>
      </c>
      <c r="L53" s="46">
        <v>4</v>
      </c>
      <c r="M53" s="46">
        <v>1</v>
      </c>
      <c r="N53" s="46">
        <v>1</v>
      </c>
    </row>
    <row r="54" spans="1:14" x14ac:dyDescent="0.2">
      <c r="A54" s="46" t="s">
        <v>49</v>
      </c>
      <c r="B54" s="46">
        <v>1169</v>
      </c>
      <c r="C54" s="46" t="s">
        <v>56</v>
      </c>
      <c r="D54" s="46">
        <v>38</v>
      </c>
      <c r="E54" s="46">
        <v>0</v>
      </c>
      <c r="F54" s="46">
        <v>38</v>
      </c>
      <c r="G54" s="46">
        <v>38</v>
      </c>
      <c r="H54" s="46" t="s">
        <v>53</v>
      </c>
      <c r="I54" s="46">
        <v>100</v>
      </c>
      <c r="J54" s="2">
        <v>1</v>
      </c>
      <c r="K54" s="46">
        <v>100</v>
      </c>
      <c r="L54" s="46">
        <v>4</v>
      </c>
      <c r="M54" s="46">
        <v>1</v>
      </c>
      <c r="N54" s="46">
        <v>1</v>
      </c>
    </row>
    <row r="55" spans="1:14" x14ac:dyDescent="0.2">
      <c r="A55" s="46" t="s">
        <v>49</v>
      </c>
      <c r="B55" s="46">
        <v>1278</v>
      </c>
      <c r="C55" s="46" t="s">
        <v>56</v>
      </c>
      <c r="D55" s="46">
        <v>0</v>
      </c>
      <c r="E55" s="46">
        <v>18</v>
      </c>
      <c r="F55" s="46">
        <v>18</v>
      </c>
      <c r="G55" s="46">
        <v>18</v>
      </c>
      <c r="H55" s="46" t="s">
        <v>53</v>
      </c>
      <c r="I55" s="46">
        <v>100</v>
      </c>
      <c r="J55" s="2">
        <v>1</v>
      </c>
      <c r="K55" s="46">
        <v>100</v>
      </c>
      <c r="L55" s="46">
        <v>4</v>
      </c>
      <c r="M55" s="46">
        <v>1</v>
      </c>
      <c r="N55" s="46">
        <v>1</v>
      </c>
    </row>
    <row r="56" spans="1:14" x14ac:dyDescent="0.2">
      <c r="A56" s="46" t="s">
        <v>49</v>
      </c>
      <c r="B56" s="46">
        <v>1281</v>
      </c>
      <c r="C56" s="46" t="s">
        <v>56</v>
      </c>
      <c r="D56" s="46">
        <v>18</v>
      </c>
      <c r="E56" s="46">
        <v>22</v>
      </c>
      <c r="F56" s="46">
        <v>40</v>
      </c>
      <c r="G56" s="46">
        <v>40</v>
      </c>
      <c r="H56" s="46" t="s">
        <v>53</v>
      </c>
      <c r="I56" s="46">
        <v>100</v>
      </c>
      <c r="J56" s="2">
        <v>1</v>
      </c>
      <c r="K56" s="46">
        <v>100</v>
      </c>
      <c r="L56" s="46">
        <v>4</v>
      </c>
      <c r="M56" s="46">
        <v>1</v>
      </c>
      <c r="N56" s="46">
        <v>1</v>
      </c>
    </row>
    <row r="57" spans="1:14" x14ac:dyDescent="0.2">
      <c r="A57" s="46" t="s">
        <v>49</v>
      </c>
      <c r="B57" s="46">
        <v>1328</v>
      </c>
      <c r="C57" s="46" t="s">
        <v>56</v>
      </c>
      <c r="D57" s="46">
        <v>81</v>
      </c>
      <c r="E57" s="46">
        <v>0</v>
      </c>
      <c r="F57" s="46">
        <v>81</v>
      </c>
      <c r="G57" s="46">
        <v>81</v>
      </c>
      <c r="H57" s="46" t="s">
        <v>53</v>
      </c>
      <c r="I57" s="46">
        <v>100</v>
      </c>
      <c r="J57" s="2">
        <v>1</v>
      </c>
      <c r="K57" s="46">
        <v>100</v>
      </c>
      <c r="L57" s="46">
        <v>4</v>
      </c>
      <c r="M57" s="46">
        <v>1</v>
      </c>
      <c r="N57" s="46">
        <v>1</v>
      </c>
    </row>
    <row r="58" spans="1:14" x14ac:dyDescent="0.2">
      <c r="A58" s="46" t="s">
        <v>49</v>
      </c>
      <c r="B58" s="46">
        <v>1342</v>
      </c>
      <c r="C58" s="46" t="s">
        <v>56</v>
      </c>
      <c r="D58" s="46">
        <v>6</v>
      </c>
      <c r="E58" s="46">
        <v>39</v>
      </c>
      <c r="F58" s="46">
        <v>45</v>
      </c>
      <c r="G58" s="46">
        <v>45</v>
      </c>
      <c r="H58" s="46" t="s">
        <v>53</v>
      </c>
      <c r="I58" s="46">
        <v>100</v>
      </c>
      <c r="J58" s="2">
        <v>1</v>
      </c>
      <c r="K58" s="46">
        <v>100</v>
      </c>
      <c r="L58" s="46">
        <v>4</v>
      </c>
      <c r="M58" s="46">
        <v>1</v>
      </c>
      <c r="N58" s="46">
        <v>1</v>
      </c>
    </row>
    <row r="59" spans="1:14" x14ac:dyDescent="0.2">
      <c r="A59" s="46" t="s">
        <v>49</v>
      </c>
      <c r="B59" s="46">
        <v>1455</v>
      </c>
      <c r="C59" s="46" t="s">
        <v>56</v>
      </c>
      <c r="D59" s="46">
        <v>16</v>
      </c>
      <c r="E59" s="46">
        <v>7</v>
      </c>
      <c r="F59" s="46">
        <v>23</v>
      </c>
      <c r="G59" s="46">
        <v>23</v>
      </c>
      <c r="H59" s="46" t="s">
        <v>53</v>
      </c>
      <c r="I59" s="46">
        <v>100</v>
      </c>
      <c r="J59" s="2">
        <v>1</v>
      </c>
      <c r="K59" s="46">
        <v>100</v>
      </c>
      <c r="L59" s="46">
        <v>4</v>
      </c>
      <c r="M59" s="46">
        <v>1</v>
      </c>
      <c r="N59" s="46">
        <v>1</v>
      </c>
    </row>
    <row r="60" spans="1:14" x14ac:dyDescent="0.2">
      <c r="A60" s="46" t="s">
        <v>49</v>
      </c>
      <c r="B60" s="46">
        <v>1515</v>
      </c>
      <c r="C60" s="46" t="s">
        <v>57</v>
      </c>
      <c r="D60" s="46">
        <v>0</v>
      </c>
      <c r="E60" s="46">
        <v>66</v>
      </c>
      <c r="F60" s="46">
        <v>66</v>
      </c>
      <c r="G60" s="46">
        <v>66</v>
      </c>
      <c r="H60" s="46" t="s">
        <v>53</v>
      </c>
      <c r="I60" s="46">
        <v>100</v>
      </c>
      <c r="J60" s="2">
        <v>1</v>
      </c>
      <c r="K60" s="46">
        <v>100</v>
      </c>
      <c r="L60" s="46">
        <v>4</v>
      </c>
      <c r="M60" s="46">
        <v>1</v>
      </c>
      <c r="N60" s="46">
        <v>2</v>
      </c>
    </row>
    <row r="61" spans="1:14" x14ac:dyDescent="0.2">
      <c r="A61" s="46" t="s">
        <v>49</v>
      </c>
      <c r="B61" s="46">
        <v>1693</v>
      </c>
      <c r="C61" s="46" t="s">
        <v>57</v>
      </c>
      <c r="D61" s="46">
        <v>52</v>
      </c>
      <c r="E61" s="46">
        <v>0</v>
      </c>
      <c r="F61" s="46">
        <v>52</v>
      </c>
      <c r="G61" s="46">
        <v>52</v>
      </c>
      <c r="H61" s="46" t="s">
        <v>53</v>
      </c>
      <c r="I61" s="46">
        <v>100</v>
      </c>
      <c r="J61" s="2">
        <v>1</v>
      </c>
      <c r="K61" s="46">
        <v>100</v>
      </c>
      <c r="L61" s="46">
        <v>4</v>
      </c>
      <c r="M61" s="46">
        <v>1</v>
      </c>
      <c r="N61" s="46">
        <v>2</v>
      </c>
    </row>
    <row r="62" spans="1:14" x14ac:dyDescent="0.2">
      <c r="A62" s="46" t="s">
        <v>49</v>
      </c>
      <c r="B62" s="46">
        <v>1747</v>
      </c>
      <c r="C62" s="46" t="s">
        <v>57</v>
      </c>
      <c r="D62" s="46">
        <v>18</v>
      </c>
      <c r="E62" s="46">
        <v>110</v>
      </c>
      <c r="F62" s="46">
        <v>128</v>
      </c>
      <c r="G62" s="46">
        <v>128</v>
      </c>
      <c r="H62" s="46" t="s">
        <v>53</v>
      </c>
      <c r="I62" s="46">
        <v>100</v>
      </c>
      <c r="J62" s="2">
        <v>1</v>
      </c>
      <c r="K62" s="46">
        <v>100</v>
      </c>
      <c r="L62" s="46">
        <v>4</v>
      </c>
      <c r="M62" s="46">
        <v>1</v>
      </c>
      <c r="N62" s="46">
        <v>2</v>
      </c>
    </row>
    <row r="63" spans="1:14" x14ac:dyDescent="0.2">
      <c r="A63" s="46" t="s">
        <v>49</v>
      </c>
      <c r="B63" s="46">
        <v>1798</v>
      </c>
      <c r="C63" s="46" t="s">
        <v>57</v>
      </c>
      <c r="D63" s="46">
        <v>80</v>
      </c>
      <c r="E63" s="46">
        <v>0</v>
      </c>
      <c r="F63" s="46">
        <v>80</v>
      </c>
      <c r="G63" s="46">
        <v>80</v>
      </c>
      <c r="H63" s="46" t="s">
        <v>53</v>
      </c>
      <c r="I63" s="46">
        <v>100</v>
      </c>
      <c r="J63" s="2">
        <v>1</v>
      </c>
      <c r="K63" s="46">
        <v>100</v>
      </c>
      <c r="L63" s="46">
        <v>4</v>
      </c>
      <c r="M63" s="46">
        <v>1</v>
      </c>
      <c r="N63" s="46">
        <v>2</v>
      </c>
    </row>
    <row r="64" spans="1:14" x14ac:dyDescent="0.2">
      <c r="A64" s="46" t="s">
        <v>49</v>
      </c>
      <c r="B64" s="46">
        <v>1814</v>
      </c>
      <c r="C64" s="46" t="s">
        <v>57</v>
      </c>
      <c r="D64" s="46">
        <v>80</v>
      </c>
      <c r="E64" s="46">
        <v>0</v>
      </c>
      <c r="F64" s="46">
        <v>80</v>
      </c>
      <c r="G64" s="46">
        <v>80</v>
      </c>
      <c r="H64" s="46" t="s">
        <v>53</v>
      </c>
      <c r="I64" s="46">
        <v>100</v>
      </c>
      <c r="J64" s="2">
        <v>1</v>
      </c>
      <c r="K64" s="46">
        <v>100</v>
      </c>
      <c r="L64" s="46">
        <v>4</v>
      </c>
      <c r="M64" s="46">
        <v>1</v>
      </c>
      <c r="N64" s="46">
        <v>2</v>
      </c>
    </row>
    <row r="65" spans="1:14" x14ac:dyDescent="0.2">
      <c r="A65" s="46" t="s">
        <v>49</v>
      </c>
      <c r="B65" s="46">
        <v>1814</v>
      </c>
      <c r="C65" s="46" t="s">
        <v>57</v>
      </c>
      <c r="D65" s="46">
        <v>80</v>
      </c>
      <c r="E65" s="46">
        <v>0</v>
      </c>
      <c r="F65" s="46">
        <v>80</v>
      </c>
      <c r="G65" s="46">
        <v>80</v>
      </c>
      <c r="H65" s="46" t="s">
        <v>53</v>
      </c>
      <c r="I65" s="46">
        <v>100</v>
      </c>
      <c r="J65" s="2">
        <v>1</v>
      </c>
      <c r="K65" s="46">
        <v>100</v>
      </c>
      <c r="L65" s="46">
        <v>4</v>
      </c>
      <c r="M65" s="46">
        <v>1</v>
      </c>
      <c r="N65" s="46">
        <v>2</v>
      </c>
    </row>
    <row r="66" spans="1:14" x14ac:dyDescent="0.2">
      <c r="A66" s="46" t="s">
        <v>49</v>
      </c>
      <c r="B66" s="46">
        <v>1855</v>
      </c>
      <c r="C66" s="46" t="s">
        <v>57</v>
      </c>
      <c r="D66" s="46">
        <v>85</v>
      </c>
      <c r="E66" s="46">
        <v>0</v>
      </c>
      <c r="F66" s="46">
        <v>85</v>
      </c>
      <c r="G66" s="46">
        <v>85</v>
      </c>
      <c r="H66" s="46" t="s">
        <v>53</v>
      </c>
      <c r="I66" s="46">
        <v>100</v>
      </c>
      <c r="J66" s="2">
        <v>1</v>
      </c>
      <c r="K66" s="46">
        <v>100</v>
      </c>
      <c r="L66" s="46">
        <v>4</v>
      </c>
      <c r="M66" s="46">
        <v>1</v>
      </c>
      <c r="N66" s="46">
        <v>2</v>
      </c>
    </row>
    <row r="67" spans="1:14" x14ac:dyDescent="0.2">
      <c r="A67" s="46" t="s">
        <v>49</v>
      </c>
      <c r="B67" s="46">
        <v>1985</v>
      </c>
      <c r="C67" s="46" t="s">
        <v>57</v>
      </c>
      <c r="D67" s="46">
        <v>60</v>
      </c>
      <c r="E67" s="46">
        <v>0</v>
      </c>
      <c r="F67" s="46">
        <v>60</v>
      </c>
      <c r="G67" s="46">
        <v>60</v>
      </c>
      <c r="H67" s="46" t="s">
        <v>53</v>
      </c>
      <c r="I67" s="46">
        <v>100</v>
      </c>
      <c r="J67" s="2">
        <v>1</v>
      </c>
      <c r="K67" s="46">
        <v>100</v>
      </c>
      <c r="L67" s="46">
        <v>4</v>
      </c>
      <c r="M67" s="46">
        <v>1</v>
      </c>
      <c r="N67" s="46">
        <v>2</v>
      </c>
    </row>
    <row r="68" spans="1:14" x14ac:dyDescent="0.2">
      <c r="A68" s="46" t="s">
        <v>49</v>
      </c>
      <c r="B68" s="46">
        <v>1987</v>
      </c>
      <c r="C68" s="46" t="s">
        <v>57</v>
      </c>
      <c r="D68" s="46">
        <v>0</v>
      </c>
      <c r="E68" s="46">
        <v>102</v>
      </c>
      <c r="F68" s="46">
        <v>102</v>
      </c>
      <c r="G68" s="46">
        <v>102</v>
      </c>
      <c r="H68" s="46" t="s">
        <v>53</v>
      </c>
      <c r="I68" s="46">
        <v>100</v>
      </c>
      <c r="J68" s="2">
        <v>1</v>
      </c>
      <c r="K68" s="46">
        <v>100</v>
      </c>
      <c r="L68" s="46">
        <v>4</v>
      </c>
      <c r="M68" s="46">
        <v>1</v>
      </c>
      <c r="N68" s="46">
        <v>2</v>
      </c>
    </row>
    <row r="69" spans="1:14" x14ac:dyDescent="0.2">
      <c r="A69" s="46" t="s">
        <v>49</v>
      </c>
      <c r="B69" s="46">
        <v>1994</v>
      </c>
      <c r="C69" s="46" t="s">
        <v>57</v>
      </c>
      <c r="D69" s="46">
        <v>0</v>
      </c>
      <c r="E69" s="46">
        <v>71</v>
      </c>
      <c r="F69" s="46">
        <v>71</v>
      </c>
      <c r="G69" s="46">
        <v>71</v>
      </c>
      <c r="H69" s="46" t="s">
        <v>53</v>
      </c>
      <c r="I69" s="46">
        <v>100</v>
      </c>
      <c r="J69" s="2">
        <v>1</v>
      </c>
      <c r="K69" s="46">
        <v>100</v>
      </c>
      <c r="L69" s="46">
        <v>4</v>
      </c>
      <c r="M69" s="46">
        <v>1</v>
      </c>
      <c r="N69" s="46">
        <v>2</v>
      </c>
    </row>
    <row r="70" spans="1:14" x14ac:dyDescent="0.2">
      <c r="A70" s="46" t="s">
        <v>49</v>
      </c>
      <c r="B70" s="46">
        <v>2091</v>
      </c>
      <c r="C70" s="46" t="s">
        <v>57</v>
      </c>
      <c r="D70" s="46">
        <v>98</v>
      </c>
      <c r="E70" s="46">
        <v>0</v>
      </c>
      <c r="F70" s="46">
        <v>98</v>
      </c>
      <c r="G70" s="46">
        <v>98</v>
      </c>
      <c r="H70" s="46" t="s">
        <v>53</v>
      </c>
      <c r="I70" s="46">
        <v>100</v>
      </c>
      <c r="J70" s="2">
        <v>1</v>
      </c>
      <c r="K70" s="46">
        <v>100</v>
      </c>
      <c r="L70" s="46">
        <v>4</v>
      </c>
      <c r="M70" s="46">
        <v>1</v>
      </c>
      <c r="N70" s="46">
        <v>2</v>
      </c>
    </row>
    <row r="71" spans="1:14" x14ac:dyDescent="0.2">
      <c r="A71" s="46" t="s">
        <v>49</v>
      </c>
      <c r="B71" s="46">
        <v>2269</v>
      </c>
      <c r="C71" s="46" t="s">
        <v>57</v>
      </c>
      <c r="D71" s="46">
        <v>70</v>
      </c>
      <c r="E71" s="46">
        <v>0</v>
      </c>
      <c r="F71" s="46">
        <v>70</v>
      </c>
      <c r="G71" s="46">
        <v>70</v>
      </c>
      <c r="H71" s="46" t="s">
        <v>53</v>
      </c>
      <c r="I71" s="46">
        <v>100</v>
      </c>
      <c r="J71" s="2">
        <v>1</v>
      </c>
      <c r="K71" s="46">
        <v>100</v>
      </c>
      <c r="L71" s="46">
        <v>4</v>
      </c>
      <c r="M71" s="46">
        <v>1</v>
      </c>
      <c r="N71" s="46">
        <v>2</v>
      </c>
    </row>
    <row r="72" spans="1:14" x14ac:dyDescent="0.2">
      <c r="A72" s="46" t="s">
        <v>49</v>
      </c>
      <c r="B72" s="46">
        <v>2283</v>
      </c>
      <c r="C72" s="46" t="s">
        <v>57</v>
      </c>
      <c r="D72" s="46">
        <v>26</v>
      </c>
      <c r="E72" s="46">
        <v>38</v>
      </c>
      <c r="F72" s="46">
        <v>64</v>
      </c>
      <c r="G72" s="46">
        <v>64</v>
      </c>
      <c r="H72" s="46" t="s">
        <v>53</v>
      </c>
      <c r="I72" s="46">
        <v>100</v>
      </c>
      <c r="J72" s="2">
        <v>1</v>
      </c>
      <c r="K72" s="46">
        <v>100</v>
      </c>
      <c r="L72" s="46">
        <v>4</v>
      </c>
      <c r="M72" s="46">
        <v>1</v>
      </c>
      <c r="N72" s="46">
        <v>2</v>
      </c>
    </row>
    <row r="73" spans="1:14" x14ac:dyDescent="0.2">
      <c r="A73" s="46" t="s">
        <v>49</v>
      </c>
      <c r="B73" s="46">
        <v>2303</v>
      </c>
      <c r="C73" s="46" t="s">
        <v>57</v>
      </c>
      <c r="D73" s="46">
        <v>16</v>
      </c>
      <c r="E73" s="46">
        <v>0</v>
      </c>
      <c r="F73" s="46">
        <v>16</v>
      </c>
      <c r="G73" s="46">
        <v>16</v>
      </c>
      <c r="H73" s="46" t="s">
        <v>53</v>
      </c>
      <c r="I73" s="46">
        <v>100</v>
      </c>
      <c r="J73" s="2">
        <v>1</v>
      </c>
      <c r="K73" s="46">
        <v>100</v>
      </c>
      <c r="L73" s="46">
        <v>4</v>
      </c>
      <c r="M73" s="46">
        <v>1</v>
      </c>
      <c r="N73" s="46">
        <v>2</v>
      </c>
    </row>
    <row r="74" spans="1:14" x14ac:dyDescent="0.2">
      <c r="A74" s="46" t="s">
        <v>49</v>
      </c>
      <c r="B74" s="46">
        <v>2385</v>
      </c>
      <c r="C74" s="46" t="s">
        <v>57</v>
      </c>
      <c r="D74" s="46">
        <v>55</v>
      </c>
      <c r="E74" s="46">
        <v>0</v>
      </c>
      <c r="F74" s="46">
        <v>55</v>
      </c>
      <c r="G74" s="46">
        <v>55</v>
      </c>
      <c r="H74" s="46" t="s">
        <v>53</v>
      </c>
      <c r="I74" s="46">
        <v>100</v>
      </c>
      <c r="J74" s="2">
        <v>1</v>
      </c>
      <c r="K74" s="46">
        <v>100</v>
      </c>
      <c r="L74" s="46">
        <v>4</v>
      </c>
      <c r="M74" s="46">
        <v>1</v>
      </c>
      <c r="N74" s="46">
        <v>2</v>
      </c>
    </row>
    <row r="75" spans="1:14" x14ac:dyDescent="0.2">
      <c r="A75" s="46" t="s">
        <v>49</v>
      </c>
      <c r="B75" s="46">
        <v>2408</v>
      </c>
      <c r="C75" s="46" t="s">
        <v>57</v>
      </c>
      <c r="D75" s="46">
        <v>0</v>
      </c>
      <c r="E75" s="46">
        <v>25</v>
      </c>
      <c r="F75" s="46">
        <v>25</v>
      </c>
      <c r="G75" s="46">
        <v>25</v>
      </c>
      <c r="H75" s="46" t="s">
        <v>53</v>
      </c>
      <c r="I75" s="46">
        <v>100</v>
      </c>
      <c r="J75" s="2">
        <v>1</v>
      </c>
      <c r="K75" s="46">
        <v>100</v>
      </c>
      <c r="L75" s="46">
        <v>4</v>
      </c>
      <c r="M75" s="46">
        <v>1</v>
      </c>
      <c r="N75" s="46">
        <v>2</v>
      </c>
    </row>
    <row r="76" spans="1:14" x14ac:dyDescent="0.2">
      <c r="A76" s="46" t="s">
        <v>49</v>
      </c>
      <c r="B76" s="46">
        <v>2596</v>
      </c>
      <c r="C76" s="46" t="s">
        <v>57</v>
      </c>
      <c r="D76" s="46">
        <v>22</v>
      </c>
      <c r="E76" s="46">
        <v>41</v>
      </c>
      <c r="F76" s="46">
        <v>63</v>
      </c>
      <c r="G76" s="46">
        <v>63</v>
      </c>
      <c r="H76" s="46" t="s">
        <v>53</v>
      </c>
      <c r="I76" s="46">
        <v>100</v>
      </c>
      <c r="J76" s="2">
        <v>1</v>
      </c>
      <c r="K76" s="46">
        <v>100</v>
      </c>
      <c r="L76" s="46">
        <v>4</v>
      </c>
      <c r="M76" s="46">
        <v>1</v>
      </c>
      <c r="N76" s="46">
        <v>2</v>
      </c>
    </row>
    <row r="77" spans="1:14" x14ac:dyDescent="0.2">
      <c r="A77" s="46" t="s">
        <v>49</v>
      </c>
      <c r="B77" s="46">
        <v>2696</v>
      </c>
      <c r="C77" s="46" t="s">
        <v>57</v>
      </c>
      <c r="D77" s="46">
        <v>43</v>
      </c>
      <c r="E77" s="46">
        <v>12</v>
      </c>
      <c r="F77" s="46">
        <v>55</v>
      </c>
      <c r="G77" s="46">
        <v>55</v>
      </c>
      <c r="H77" s="46" t="s">
        <v>53</v>
      </c>
      <c r="I77" s="46">
        <v>100</v>
      </c>
      <c r="J77" s="2">
        <v>1</v>
      </c>
      <c r="K77" s="46">
        <v>100</v>
      </c>
      <c r="L77" s="46">
        <v>4</v>
      </c>
      <c r="M77" s="46">
        <v>1</v>
      </c>
      <c r="N77" s="46">
        <v>2</v>
      </c>
    </row>
    <row r="78" spans="1:14" x14ac:dyDescent="0.2">
      <c r="A78" s="46" t="s">
        <v>49</v>
      </c>
      <c r="B78" s="46">
        <v>2715</v>
      </c>
      <c r="C78" s="46" t="s">
        <v>57</v>
      </c>
      <c r="D78" s="46">
        <v>30</v>
      </c>
      <c r="E78" s="46">
        <v>0</v>
      </c>
      <c r="F78" s="46">
        <v>30</v>
      </c>
      <c r="G78" s="46">
        <v>30</v>
      </c>
      <c r="H78" s="46" t="s">
        <v>53</v>
      </c>
      <c r="I78" s="46">
        <v>100</v>
      </c>
      <c r="J78" s="2">
        <v>1</v>
      </c>
      <c r="K78" s="46">
        <v>100</v>
      </c>
      <c r="L78" s="46">
        <v>4</v>
      </c>
      <c r="M78" s="46">
        <v>1</v>
      </c>
      <c r="N78" s="46">
        <v>2</v>
      </c>
    </row>
    <row r="79" spans="1:14" x14ac:dyDescent="0.2">
      <c r="A79" s="46" t="s">
        <v>49</v>
      </c>
      <c r="B79" s="46">
        <v>2725</v>
      </c>
      <c r="C79" s="46" t="s">
        <v>57</v>
      </c>
      <c r="D79" s="46">
        <v>40</v>
      </c>
      <c r="E79" s="46">
        <v>0</v>
      </c>
      <c r="F79" s="46">
        <v>40</v>
      </c>
      <c r="G79" s="46">
        <v>40</v>
      </c>
      <c r="H79" s="46" t="s">
        <v>53</v>
      </c>
      <c r="I79" s="46">
        <v>100</v>
      </c>
      <c r="J79" s="2">
        <v>1</v>
      </c>
      <c r="K79" s="46">
        <v>100</v>
      </c>
      <c r="L79" s="46">
        <v>4</v>
      </c>
      <c r="M79" s="46">
        <v>1</v>
      </c>
      <c r="N79" s="46">
        <v>2</v>
      </c>
    </row>
    <row r="80" spans="1:14" x14ac:dyDescent="0.2">
      <c r="A80" s="46" t="s">
        <v>49</v>
      </c>
      <c r="B80" s="46">
        <v>2909</v>
      </c>
      <c r="C80" s="46" t="s">
        <v>57</v>
      </c>
      <c r="D80" s="46">
        <v>18</v>
      </c>
      <c r="E80" s="46">
        <v>0</v>
      </c>
      <c r="F80" s="46">
        <v>18</v>
      </c>
      <c r="G80" s="46">
        <v>18</v>
      </c>
      <c r="H80" s="46" t="s">
        <v>53</v>
      </c>
      <c r="I80" s="46">
        <v>100</v>
      </c>
      <c r="J80" s="2">
        <v>1</v>
      </c>
      <c r="K80" s="46">
        <v>100</v>
      </c>
      <c r="L80" s="46">
        <v>4</v>
      </c>
      <c r="M80" s="46">
        <v>1</v>
      </c>
      <c r="N80" s="46">
        <v>2</v>
      </c>
    </row>
    <row r="81" spans="1:14" x14ac:dyDescent="0.2">
      <c r="A81" s="46" t="s">
        <v>49</v>
      </c>
      <c r="B81" s="46">
        <v>2925</v>
      </c>
      <c r="C81" s="46" t="s">
        <v>57</v>
      </c>
      <c r="D81" s="46">
        <v>0</v>
      </c>
      <c r="E81" s="46">
        <v>26</v>
      </c>
      <c r="F81" s="46">
        <v>26</v>
      </c>
      <c r="G81" s="46">
        <v>26</v>
      </c>
      <c r="H81" s="46" t="s">
        <v>53</v>
      </c>
      <c r="I81" s="46">
        <v>100</v>
      </c>
      <c r="J81" s="2">
        <v>1</v>
      </c>
      <c r="K81" s="46">
        <v>100</v>
      </c>
      <c r="L81" s="46">
        <v>4</v>
      </c>
      <c r="M81" s="46">
        <v>1</v>
      </c>
      <c r="N81" s="46">
        <v>2</v>
      </c>
    </row>
    <row r="82" spans="1:14" x14ac:dyDescent="0.2">
      <c r="A82" s="46" t="s">
        <v>49</v>
      </c>
      <c r="B82" s="46">
        <v>3071</v>
      </c>
      <c r="C82" s="46" t="s">
        <v>58</v>
      </c>
      <c r="D82" s="46">
        <v>7</v>
      </c>
      <c r="E82" s="46">
        <v>18</v>
      </c>
      <c r="F82" s="46">
        <v>25</v>
      </c>
      <c r="G82" s="46">
        <v>25</v>
      </c>
      <c r="H82" s="46" t="s">
        <v>53</v>
      </c>
      <c r="I82" s="46">
        <v>100</v>
      </c>
      <c r="J82" s="2">
        <v>1</v>
      </c>
      <c r="K82" s="46">
        <v>100</v>
      </c>
      <c r="L82" s="46">
        <v>4</v>
      </c>
      <c r="M82" s="46">
        <v>1</v>
      </c>
      <c r="N82" s="46">
        <v>3</v>
      </c>
    </row>
    <row r="83" spans="1:14" x14ac:dyDescent="0.2">
      <c r="A83" s="46" t="s">
        <v>49</v>
      </c>
      <c r="B83" s="46">
        <v>3080</v>
      </c>
      <c r="C83" s="46" t="s">
        <v>58</v>
      </c>
      <c r="D83" s="46">
        <v>70</v>
      </c>
      <c r="E83" s="46">
        <v>0</v>
      </c>
      <c r="F83" s="46">
        <v>70</v>
      </c>
      <c r="G83" s="46">
        <v>70</v>
      </c>
      <c r="H83" s="46" t="s">
        <v>53</v>
      </c>
      <c r="I83" s="46">
        <v>100</v>
      </c>
      <c r="J83" s="2">
        <v>1</v>
      </c>
      <c r="K83" s="46">
        <v>100</v>
      </c>
      <c r="L83" s="46">
        <v>4</v>
      </c>
      <c r="M83" s="46">
        <v>1</v>
      </c>
      <c r="N83" s="46">
        <v>3</v>
      </c>
    </row>
    <row r="84" spans="1:14" x14ac:dyDescent="0.2">
      <c r="A84" s="46" t="s">
        <v>49</v>
      </c>
      <c r="B84" s="46">
        <v>3145</v>
      </c>
      <c r="C84" s="46" t="s">
        <v>58</v>
      </c>
      <c r="D84" s="46">
        <v>70</v>
      </c>
      <c r="E84" s="46">
        <v>0</v>
      </c>
      <c r="F84" s="46">
        <v>70</v>
      </c>
      <c r="G84" s="46">
        <v>70</v>
      </c>
      <c r="H84" s="46" t="s">
        <v>53</v>
      </c>
      <c r="I84" s="46">
        <v>100</v>
      </c>
      <c r="J84" s="2">
        <v>1</v>
      </c>
      <c r="K84" s="46">
        <v>100</v>
      </c>
      <c r="L84" s="46">
        <v>4</v>
      </c>
      <c r="M84" s="46">
        <v>1</v>
      </c>
      <c r="N84" s="46">
        <v>3</v>
      </c>
    </row>
    <row r="85" spans="1:14" x14ac:dyDescent="0.2">
      <c r="A85" s="46" t="s">
        <v>49</v>
      </c>
      <c r="B85" s="46">
        <v>3535</v>
      </c>
      <c r="C85" s="46" t="s">
        <v>58</v>
      </c>
      <c r="D85" s="46">
        <v>14</v>
      </c>
      <c r="E85" s="46">
        <v>0</v>
      </c>
      <c r="F85" s="46">
        <v>14</v>
      </c>
      <c r="G85" s="46">
        <v>14</v>
      </c>
      <c r="H85" s="46" t="s">
        <v>53</v>
      </c>
      <c r="I85" s="46">
        <v>100</v>
      </c>
      <c r="J85" s="2">
        <v>1</v>
      </c>
      <c r="K85" s="46">
        <v>100</v>
      </c>
      <c r="L85" s="46">
        <v>4</v>
      </c>
      <c r="M85" s="46">
        <v>1</v>
      </c>
      <c r="N85" s="46">
        <v>3</v>
      </c>
    </row>
    <row r="86" spans="1:14" x14ac:dyDescent="0.2">
      <c r="A86" s="46" t="s">
        <v>49</v>
      </c>
      <c r="B86" s="46">
        <v>3599</v>
      </c>
      <c r="C86" s="46" t="s">
        <v>58</v>
      </c>
      <c r="D86" s="46">
        <v>25</v>
      </c>
      <c r="E86" s="46">
        <v>116</v>
      </c>
      <c r="F86" s="46">
        <v>141</v>
      </c>
      <c r="G86" s="46">
        <v>141</v>
      </c>
      <c r="H86" s="46" t="s">
        <v>53</v>
      </c>
      <c r="I86" s="46">
        <v>100</v>
      </c>
      <c r="J86" s="2">
        <v>1</v>
      </c>
      <c r="K86" s="46">
        <v>100</v>
      </c>
      <c r="L86" s="46">
        <v>4</v>
      </c>
      <c r="M86" s="46">
        <v>1</v>
      </c>
      <c r="N86" s="46">
        <v>3</v>
      </c>
    </row>
    <row r="87" spans="1:14" x14ac:dyDescent="0.2">
      <c r="A87" s="46" t="s">
        <v>49</v>
      </c>
      <c r="B87" s="46">
        <v>3643</v>
      </c>
      <c r="C87" s="46" t="s">
        <v>58</v>
      </c>
      <c r="D87" s="46">
        <v>0</v>
      </c>
      <c r="E87" s="46">
        <v>63</v>
      </c>
      <c r="F87" s="46">
        <v>63</v>
      </c>
      <c r="G87" s="46">
        <v>63</v>
      </c>
      <c r="H87" s="46" t="s">
        <v>53</v>
      </c>
      <c r="I87" s="46">
        <v>100</v>
      </c>
      <c r="J87" s="2">
        <v>1</v>
      </c>
      <c r="K87" s="46">
        <v>100</v>
      </c>
      <c r="L87" s="46">
        <v>4</v>
      </c>
      <c r="M87" s="46">
        <v>1</v>
      </c>
      <c r="N87" s="46">
        <v>3</v>
      </c>
    </row>
    <row r="88" spans="1:14" x14ac:dyDescent="0.2">
      <c r="A88" s="46" t="s">
        <v>49</v>
      </c>
      <c r="B88" s="46">
        <v>3751</v>
      </c>
      <c r="C88" s="46" t="s">
        <v>58</v>
      </c>
      <c r="D88" s="46">
        <v>24</v>
      </c>
      <c r="E88" s="46">
        <v>0</v>
      </c>
      <c r="F88" s="46">
        <v>24</v>
      </c>
      <c r="G88" s="46">
        <v>24</v>
      </c>
      <c r="H88" s="46" t="s">
        <v>53</v>
      </c>
      <c r="I88" s="46">
        <v>100</v>
      </c>
      <c r="J88" s="2">
        <v>1</v>
      </c>
      <c r="K88" s="46">
        <v>100</v>
      </c>
      <c r="L88" s="46">
        <v>4</v>
      </c>
      <c r="M88" s="46">
        <v>1</v>
      </c>
      <c r="N88" s="46">
        <v>3</v>
      </c>
    </row>
    <row r="89" spans="1:14" x14ac:dyDescent="0.2">
      <c r="A89" s="46" t="s">
        <v>49</v>
      </c>
      <c r="B89" s="46">
        <v>3824</v>
      </c>
      <c r="C89" s="46" t="s">
        <v>58</v>
      </c>
      <c r="D89" s="46">
        <v>0</v>
      </c>
      <c r="E89" s="46">
        <v>69</v>
      </c>
      <c r="F89" s="46">
        <v>69</v>
      </c>
      <c r="G89" s="46">
        <v>69</v>
      </c>
      <c r="H89" s="46" t="s">
        <v>53</v>
      </c>
      <c r="I89" s="46">
        <v>100</v>
      </c>
      <c r="J89" s="2">
        <v>1</v>
      </c>
      <c r="K89" s="46">
        <v>100</v>
      </c>
      <c r="L89" s="46">
        <v>4</v>
      </c>
      <c r="M89" s="46">
        <v>1</v>
      </c>
      <c r="N89" s="46">
        <v>3</v>
      </c>
    </row>
    <row r="90" spans="1:14" x14ac:dyDescent="0.2">
      <c r="A90" s="46" t="s">
        <v>49</v>
      </c>
      <c r="B90" s="46">
        <v>3839</v>
      </c>
      <c r="C90" s="46" t="s">
        <v>58</v>
      </c>
      <c r="D90" s="46">
        <v>95</v>
      </c>
      <c r="E90" s="46">
        <v>0</v>
      </c>
      <c r="F90" s="46">
        <v>95</v>
      </c>
      <c r="G90" s="46">
        <v>95</v>
      </c>
      <c r="H90" s="46" t="s">
        <v>53</v>
      </c>
      <c r="I90" s="46">
        <v>100</v>
      </c>
      <c r="J90" s="2">
        <v>1</v>
      </c>
      <c r="K90" s="46">
        <v>100</v>
      </c>
      <c r="L90" s="46">
        <v>4</v>
      </c>
      <c r="M90" s="46">
        <v>1</v>
      </c>
      <c r="N90" s="46">
        <v>3</v>
      </c>
    </row>
    <row r="91" spans="1:14" x14ac:dyDescent="0.2">
      <c r="A91" s="46" t="s">
        <v>49</v>
      </c>
      <c r="B91" s="46">
        <v>3976</v>
      </c>
      <c r="C91" s="46" t="s">
        <v>58</v>
      </c>
      <c r="D91" s="46">
        <v>44</v>
      </c>
      <c r="E91" s="46">
        <v>2</v>
      </c>
      <c r="F91" s="46">
        <v>46</v>
      </c>
      <c r="G91" s="46">
        <v>46</v>
      </c>
      <c r="H91" s="46" t="s">
        <v>53</v>
      </c>
      <c r="I91" s="46">
        <v>100</v>
      </c>
      <c r="J91" s="2">
        <v>1</v>
      </c>
      <c r="K91" s="46">
        <v>100</v>
      </c>
      <c r="L91" s="46">
        <v>4</v>
      </c>
      <c r="M91" s="46">
        <v>1</v>
      </c>
      <c r="N91" s="46">
        <v>3</v>
      </c>
    </row>
    <row r="92" spans="1:14" x14ac:dyDescent="0.2">
      <c r="A92" s="46" t="s">
        <v>49</v>
      </c>
      <c r="B92" s="46">
        <v>4022</v>
      </c>
      <c r="C92" s="46" t="s">
        <v>58</v>
      </c>
      <c r="D92" s="46">
        <v>0</v>
      </c>
      <c r="E92" s="46">
        <v>116</v>
      </c>
      <c r="F92" s="46">
        <v>116</v>
      </c>
      <c r="G92" s="46">
        <v>116</v>
      </c>
      <c r="H92" s="46" t="s">
        <v>53</v>
      </c>
      <c r="I92" s="46">
        <v>100</v>
      </c>
      <c r="J92" s="2">
        <v>1</v>
      </c>
      <c r="K92" s="46">
        <v>100</v>
      </c>
      <c r="L92" s="46">
        <v>4</v>
      </c>
      <c r="M92" s="46">
        <v>1</v>
      </c>
      <c r="N92" s="46">
        <v>3</v>
      </c>
    </row>
    <row r="93" spans="1:14" x14ac:dyDescent="0.2">
      <c r="A93" s="46" t="s">
        <v>49</v>
      </c>
      <c r="B93" s="46">
        <v>4298</v>
      </c>
      <c r="C93" s="46" t="s">
        <v>58</v>
      </c>
      <c r="D93" s="46">
        <v>18</v>
      </c>
      <c r="E93" s="46">
        <v>0</v>
      </c>
      <c r="F93" s="46">
        <v>18</v>
      </c>
      <c r="G93" s="46">
        <v>18</v>
      </c>
      <c r="H93" s="46" t="s">
        <v>53</v>
      </c>
      <c r="I93" s="46">
        <v>100</v>
      </c>
      <c r="J93" s="2">
        <v>1</v>
      </c>
      <c r="K93" s="46">
        <v>100</v>
      </c>
      <c r="L93" s="46">
        <v>4</v>
      </c>
      <c r="M93" s="46">
        <v>1</v>
      </c>
      <c r="N93" s="46">
        <v>3</v>
      </c>
    </row>
    <row r="94" spans="1:14" x14ac:dyDescent="0.2">
      <c r="A94" s="46" t="s">
        <v>49</v>
      </c>
      <c r="B94" s="46">
        <v>4299</v>
      </c>
      <c r="C94" s="46" t="s">
        <v>58</v>
      </c>
      <c r="D94" s="46">
        <v>107</v>
      </c>
      <c r="E94" s="46">
        <v>0</v>
      </c>
      <c r="F94" s="46">
        <v>107</v>
      </c>
      <c r="G94" s="46">
        <v>107</v>
      </c>
      <c r="H94" s="46" t="s">
        <v>53</v>
      </c>
      <c r="I94" s="46">
        <v>100</v>
      </c>
      <c r="J94" s="2">
        <v>1</v>
      </c>
      <c r="K94" s="46">
        <v>100</v>
      </c>
      <c r="L94" s="46">
        <v>4</v>
      </c>
      <c r="M94" s="46">
        <v>1</v>
      </c>
      <c r="N94" s="46">
        <v>3</v>
      </c>
    </row>
    <row r="95" spans="1:14" x14ac:dyDescent="0.2">
      <c r="A95" s="46" t="s">
        <v>49</v>
      </c>
      <c r="B95" s="46">
        <v>4349</v>
      </c>
      <c r="C95" s="46" t="s">
        <v>58</v>
      </c>
      <c r="D95" s="46">
        <v>40</v>
      </c>
      <c r="E95" s="46">
        <v>0</v>
      </c>
      <c r="F95" s="46">
        <v>40</v>
      </c>
      <c r="G95" s="46">
        <v>40</v>
      </c>
      <c r="H95" s="46" t="s">
        <v>53</v>
      </c>
      <c r="I95" s="46">
        <v>100</v>
      </c>
      <c r="J95" s="2">
        <v>1</v>
      </c>
      <c r="K95" s="46">
        <v>100</v>
      </c>
      <c r="L95" s="46">
        <v>4</v>
      </c>
      <c r="M95" s="46">
        <v>1</v>
      </c>
      <c r="N95" s="46">
        <v>3</v>
      </c>
    </row>
    <row r="96" spans="1:14" x14ac:dyDescent="0.2">
      <c r="A96" s="46" t="s">
        <v>49</v>
      </c>
      <c r="B96" s="46">
        <v>4515</v>
      </c>
      <c r="C96" s="46" t="s">
        <v>58</v>
      </c>
      <c r="D96" s="46">
        <v>43</v>
      </c>
      <c r="E96" s="46">
        <v>0</v>
      </c>
      <c r="F96" s="46">
        <v>43</v>
      </c>
      <c r="G96" s="46">
        <v>43</v>
      </c>
      <c r="H96" s="46" t="s">
        <v>53</v>
      </c>
      <c r="I96" s="46">
        <v>100</v>
      </c>
      <c r="J96" s="2">
        <v>1</v>
      </c>
      <c r="K96" s="46">
        <v>100</v>
      </c>
      <c r="L96" s="46">
        <v>4</v>
      </c>
      <c r="M96" s="46">
        <v>1</v>
      </c>
      <c r="N96" s="46">
        <v>3</v>
      </c>
    </row>
    <row r="97" spans="1:14" x14ac:dyDescent="0.2">
      <c r="A97" s="46" t="s">
        <v>49</v>
      </c>
      <c r="B97" s="46">
        <v>1651</v>
      </c>
      <c r="C97" s="46" t="s">
        <v>57</v>
      </c>
      <c r="D97" s="46">
        <v>227</v>
      </c>
      <c r="E97" s="46">
        <v>0</v>
      </c>
      <c r="F97" s="46">
        <v>227</v>
      </c>
      <c r="G97" s="46">
        <v>227</v>
      </c>
      <c r="H97" s="46" t="s">
        <v>54</v>
      </c>
      <c r="I97" s="46">
        <v>100</v>
      </c>
      <c r="J97" s="2">
        <v>1</v>
      </c>
      <c r="K97" s="46">
        <v>100</v>
      </c>
      <c r="L97" s="46">
        <v>4</v>
      </c>
      <c r="M97" s="46">
        <v>2</v>
      </c>
      <c r="N97" s="46">
        <v>2</v>
      </c>
    </row>
    <row r="98" spans="1:14" x14ac:dyDescent="0.2">
      <c r="A98" s="46" t="s">
        <v>49</v>
      </c>
      <c r="B98" s="46">
        <v>1814</v>
      </c>
      <c r="C98" s="46" t="s">
        <v>57</v>
      </c>
      <c r="D98" s="46">
        <v>128</v>
      </c>
      <c r="E98" s="46">
        <v>164</v>
      </c>
      <c r="F98" s="46">
        <v>292</v>
      </c>
      <c r="G98" s="46">
        <v>292</v>
      </c>
      <c r="H98" s="46" t="s">
        <v>54</v>
      </c>
      <c r="I98" s="46">
        <v>100</v>
      </c>
      <c r="J98" s="2">
        <v>1</v>
      </c>
      <c r="K98" s="46">
        <v>100</v>
      </c>
      <c r="L98" s="46">
        <v>4</v>
      </c>
      <c r="M98" s="46">
        <v>2</v>
      </c>
      <c r="N98" s="46">
        <v>2</v>
      </c>
    </row>
    <row r="99" spans="1:14" x14ac:dyDescent="0.2">
      <c r="A99" s="46" t="s">
        <v>49</v>
      </c>
      <c r="B99" s="46">
        <v>1852</v>
      </c>
      <c r="C99" s="46" t="s">
        <v>57</v>
      </c>
      <c r="D99" s="46">
        <v>151</v>
      </c>
      <c r="E99" s="46">
        <v>0</v>
      </c>
      <c r="F99" s="46">
        <v>151</v>
      </c>
      <c r="G99" s="46">
        <v>151</v>
      </c>
      <c r="H99" s="46" t="s">
        <v>54</v>
      </c>
      <c r="I99" s="46">
        <v>100</v>
      </c>
      <c r="J99" s="2">
        <v>1</v>
      </c>
      <c r="K99" s="46">
        <v>100</v>
      </c>
      <c r="L99" s="46">
        <v>4</v>
      </c>
      <c r="M99" s="46">
        <v>2</v>
      </c>
      <c r="N99" s="46">
        <v>2</v>
      </c>
    </row>
    <row r="100" spans="1:14" x14ac:dyDescent="0.2">
      <c r="A100" s="46" t="s">
        <v>49</v>
      </c>
      <c r="B100" s="46">
        <v>1991</v>
      </c>
      <c r="C100" s="46" t="s">
        <v>57</v>
      </c>
      <c r="D100" s="46">
        <v>205</v>
      </c>
      <c r="E100" s="46">
        <v>0</v>
      </c>
      <c r="F100" s="46">
        <v>205</v>
      </c>
      <c r="G100" s="46">
        <v>205</v>
      </c>
      <c r="H100" s="46" t="s">
        <v>54</v>
      </c>
      <c r="I100" s="46">
        <v>100</v>
      </c>
      <c r="J100" s="2">
        <v>1</v>
      </c>
      <c r="K100" s="46">
        <v>100</v>
      </c>
      <c r="L100" s="46">
        <v>4</v>
      </c>
      <c r="M100" s="46">
        <v>2</v>
      </c>
      <c r="N100" s="46">
        <v>2</v>
      </c>
    </row>
    <row r="101" spans="1:14" x14ac:dyDescent="0.2">
      <c r="A101" s="46" t="s">
        <v>49</v>
      </c>
      <c r="B101" s="46">
        <v>2060</v>
      </c>
      <c r="C101" s="46" t="s">
        <v>57</v>
      </c>
      <c r="D101" s="46">
        <v>138</v>
      </c>
      <c r="E101" s="46">
        <v>12</v>
      </c>
      <c r="F101" s="46">
        <v>150</v>
      </c>
      <c r="G101" s="46">
        <v>150</v>
      </c>
      <c r="H101" s="46" t="s">
        <v>54</v>
      </c>
      <c r="I101" s="46">
        <v>100</v>
      </c>
      <c r="J101" s="2">
        <v>1</v>
      </c>
      <c r="K101" s="46">
        <v>100</v>
      </c>
      <c r="L101" s="46">
        <v>4</v>
      </c>
      <c r="M101" s="46">
        <v>2</v>
      </c>
      <c r="N101" s="46">
        <v>2</v>
      </c>
    </row>
    <row r="102" spans="1:14" x14ac:dyDescent="0.2">
      <c r="A102" s="46" t="s">
        <v>49</v>
      </c>
      <c r="B102" s="46">
        <v>2066</v>
      </c>
      <c r="C102" s="46" t="s">
        <v>57</v>
      </c>
      <c r="D102" s="46">
        <v>39</v>
      </c>
      <c r="E102" s="46">
        <v>135</v>
      </c>
      <c r="F102" s="46">
        <v>174</v>
      </c>
      <c r="G102" s="46">
        <v>174</v>
      </c>
      <c r="H102" s="46" t="s">
        <v>54</v>
      </c>
      <c r="I102" s="46">
        <v>100</v>
      </c>
      <c r="J102" s="2">
        <v>1</v>
      </c>
      <c r="K102" s="46">
        <v>100</v>
      </c>
      <c r="L102" s="46">
        <v>4</v>
      </c>
      <c r="M102" s="46">
        <v>2</v>
      </c>
      <c r="N102" s="46">
        <v>2</v>
      </c>
    </row>
    <row r="103" spans="1:14" x14ac:dyDescent="0.2">
      <c r="A103" s="46" t="s">
        <v>49</v>
      </c>
      <c r="B103" s="46">
        <v>2131</v>
      </c>
      <c r="C103" s="46" t="s">
        <v>57</v>
      </c>
      <c r="D103" s="46">
        <v>187</v>
      </c>
      <c r="E103" s="46">
        <v>20</v>
      </c>
      <c r="F103" s="46">
        <v>207</v>
      </c>
      <c r="G103" s="46">
        <v>207</v>
      </c>
      <c r="H103" s="46" t="s">
        <v>54</v>
      </c>
      <c r="I103" s="46">
        <v>100</v>
      </c>
      <c r="J103" s="2">
        <v>1</v>
      </c>
      <c r="K103" s="46">
        <v>100</v>
      </c>
      <c r="L103" s="46">
        <v>4</v>
      </c>
      <c r="M103" s="46">
        <v>2</v>
      </c>
      <c r="N103" s="46">
        <v>2</v>
      </c>
    </row>
    <row r="104" spans="1:14" x14ac:dyDescent="0.2">
      <c r="A104" s="46" t="s">
        <v>49</v>
      </c>
      <c r="B104" s="46">
        <v>2141</v>
      </c>
      <c r="C104" s="46" t="s">
        <v>57</v>
      </c>
      <c r="D104" s="46">
        <v>67</v>
      </c>
      <c r="E104" s="46">
        <v>109</v>
      </c>
      <c r="F104" s="46">
        <v>176</v>
      </c>
      <c r="G104" s="46">
        <v>176</v>
      </c>
      <c r="H104" s="46" t="s">
        <v>54</v>
      </c>
      <c r="I104" s="46">
        <v>100</v>
      </c>
      <c r="J104" s="2">
        <v>1</v>
      </c>
      <c r="K104" s="46">
        <v>100</v>
      </c>
      <c r="L104" s="46">
        <v>4</v>
      </c>
      <c r="M104" s="46">
        <v>2</v>
      </c>
      <c r="N104" s="46">
        <v>2</v>
      </c>
    </row>
    <row r="105" spans="1:14" x14ac:dyDescent="0.2">
      <c r="A105" s="46" t="s">
        <v>49</v>
      </c>
      <c r="B105" s="46">
        <v>2330</v>
      </c>
      <c r="C105" s="46" t="s">
        <v>57</v>
      </c>
      <c r="D105" s="46">
        <v>80</v>
      </c>
      <c r="E105" s="46">
        <v>112</v>
      </c>
      <c r="F105" s="46">
        <v>192</v>
      </c>
      <c r="G105" s="46">
        <v>192</v>
      </c>
      <c r="H105" s="46" t="s">
        <v>54</v>
      </c>
      <c r="I105" s="46">
        <v>100</v>
      </c>
      <c r="J105" s="2">
        <v>1</v>
      </c>
      <c r="K105" s="46">
        <v>100</v>
      </c>
      <c r="L105" s="46">
        <v>4</v>
      </c>
      <c r="M105" s="46">
        <v>2</v>
      </c>
      <c r="N105" s="46">
        <v>2</v>
      </c>
    </row>
    <row r="106" spans="1:14" x14ac:dyDescent="0.2">
      <c r="A106" s="46" t="s">
        <v>49</v>
      </c>
      <c r="B106" s="46">
        <v>2533</v>
      </c>
      <c r="C106" s="46" t="s">
        <v>57</v>
      </c>
      <c r="D106" s="46">
        <v>62</v>
      </c>
      <c r="E106" s="46">
        <v>138</v>
      </c>
      <c r="F106" s="46">
        <v>200</v>
      </c>
      <c r="G106" s="46">
        <v>200</v>
      </c>
      <c r="H106" s="46" t="s">
        <v>54</v>
      </c>
      <c r="I106" s="46">
        <v>100</v>
      </c>
      <c r="J106" s="2">
        <v>1</v>
      </c>
      <c r="K106" s="46">
        <v>100</v>
      </c>
      <c r="L106" s="46">
        <v>4</v>
      </c>
      <c r="M106" s="46">
        <v>2</v>
      </c>
      <c r="N106" s="46">
        <v>2</v>
      </c>
    </row>
    <row r="107" spans="1:14" x14ac:dyDescent="0.2">
      <c r="A107" s="46" t="s">
        <v>49</v>
      </c>
      <c r="B107" s="46">
        <v>2623</v>
      </c>
      <c r="C107" s="46" t="s">
        <v>57</v>
      </c>
      <c r="D107" s="46">
        <v>135</v>
      </c>
      <c r="E107" s="46">
        <v>15</v>
      </c>
      <c r="F107" s="46">
        <v>150</v>
      </c>
      <c r="G107" s="46">
        <v>150</v>
      </c>
      <c r="H107" s="46" t="s">
        <v>54</v>
      </c>
      <c r="I107" s="46">
        <v>100</v>
      </c>
      <c r="J107" s="2">
        <v>1</v>
      </c>
      <c r="K107" s="46">
        <v>100</v>
      </c>
      <c r="L107" s="46">
        <v>4</v>
      </c>
      <c r="M107" s="46">
        <v>2</v>
      </c>
      <c r="N107" s="46">
        <v>2</v>
      </c>
    </row>
    <row r="108" spans="1:14" x14ac:dyDescent="0.2">
      <c r="A108" s="46" t="s">
        <v>49</v>
      </c>
      <c r="B108" s="46">
        <v>2694</v>
      </c>
      <c r="C108" s="46" t="s">
        <v>57</v>
      </c>
      <c r="D108" s="46">
        <v>190</v>
      </c>
      <c r="E108" s="46">
        <v>24</v>
      </c>
      <c r="F108" s="46">
        <v>214</v>
      </c>
      <c r="G108" s="46">
        <v>214</v>
      </c>
      <c r="H108" s="46" t="s">
        <v>54</v>
      </c>
      <c r="I108" s="46">
        <v>100</v>
      </c>
      <c r="J108" s="2">
        <v>1</v>
      </c>
      <c r="K108" s="46">
        <v>100</v>
      </c>
      <c r="L108" s="46">
        <v>4</v>
      </c>
      <c r="M108" s="46">
        <v>2</v>
      </c>
      <c r="N108" s="46">
        <v>2</v>
      </c>
    </row>
    <row r="109" spans="1:14" x14ac:dyDescent="0.2">
      <c r="A109" s="46" t="s">
        <v>49</v>
      </c>
      <c r="B109" s="46">
        <v>2926</v>
      </c>
      <c r="C109" s="46" t="s">
        <v>57</v>
      </c>
      <c r="D109" s="46">
        <v>96</v>
      </c>
      <c r="E109" s="46">
        <v>134</v>
      </c>
      <c r="F109" s="46">
        <v>230</v>
      </c>
      <c r="G109" s="46">
        <v>230</v>
      </c>
      <c r="H109" s="46" t="s">
        <v>54</v>
      </c>
      <c r="I109" s="46">
        <v>100</v>
      </c>
      <c r="J109" s="2">
        <v>1</v>
      </c>
      <c r="K109" s="46">
        <v>100</v>
      </c>
      <c r="L109" s="46">
        <v>4</v>
      </c>
      <c r="M109" s="46">
        <v>2</v>
      </c>
      <c r="N109" s="46">
        <v>2</v>
      </c>
    </row>
    <row r="110" spans="1:14" x14ac:dyDescent="0.2">
      <c r="A110" s="46" t="s">
        <v>49</v>
      </c>
      <c r="B110" s="46">
        <v>3397</v>
      </c>
      <c r="C110" s="46" t="s">
        <v>58</v>
      </c>
      <c r="D110" s="46">
        <v>43</v>
      </c>
      <c r="E110" s="46">
        <v>137</v>
      </c>
      <c r="F110" s="46">
        <v>180</v>
      </c>
      <c r="G110" s="46">
        <v>180</v>
      </c>
      <c r="H110" s="46" t="s">
        <v>54</v>
      </c>
      <c r="I110" s="46">
        <v>100</v>
      </c>
      <c r="J110" s="2">
        <v>1</v>
      </c>
      <c r="K110" s="46">
        <v>100</v>
      </c>
      <c r="L110" s="46">
        <v>4</v>
      </c>
      <c r="M110" s="46">
        <v>2</v>
      </c>
      <c r="N110" s="46">
        <v>3</v>
      </c>
    </row>
    <row r="111" spans="1:14" x14ac:dyDescent="0.2">
      <c r="A111" s="46" t="s">
        <v>49</v>
      </c>
      <c r="B111" s="46">
        <v>3489</v>
      </c>
      <c r="C111" s="46" t="s">
        <v>58</v>
      </c>
      <c r="D111" s="46">
        <v>10</v>
      </c>
      <c r="E111" s="46">
        <v>182</v>
      </c>
      <c r="F111" s="46">
        <v>192</v>
      </c>
      <c r="G111" s="46">
        <v>192</v>
      </c>
      <c r="H111" s="46" t="s">
        <v>54</v>
      </c>
      <c r="I111" s="46">
        <v>100</v>
      </c>
      <c r="J111" s="2">
        <v>1</v>
      </c>
      <c r="K111" s="46">
        <v>100</v>
      </c>
      <c r="L111" s="46">
        <v>4</v>
      </c>
      <c r="M111" s="46">
        <v>2</v>
      </c>
      <c r="N111" s="46">
        <v>3</v>
      </c>
    </row>
    <row r="112" spans="1:14" x14ac:dyDescent="0.2">
      <c r="A112" s="46" t="s">
        <v>49</v>
      </c>
      <c r="B112" s="46">
        <v>4142</v>
      </c>
      <c r="C112" s="46" t="s">
        <v>58</v>
      </c>
      <c r="D112" s="46">
        <v>215</v>
      </c>
      <c r="E112" s="46">
        <v>0</v>
      </c>
      <c r="F112" s="46">
        <v>215</v>
      </c>
      <c r="G112" s="46">
        <v>215</v>
      </c>
      <c r="H112" s="46" t="s">
        <v>54</v>
      </c>
      <c r="I112" s="46">
        <v>100</v>
      </c>
      <c r="J112" s="2">
        <v>1</v>
      </c>
      <c r="K112" s="46">
        <v>100</v>
      </c>
      <c r="L112" s="46">
        <v>4</v>
      </c>
      <c r="M112" s="46">
        <v>2</v>
      </c>
      <c r="N112" s="46">
        <v>3</v>
      </c>
    </row>
    <row r="113" spans="1:14" x14ac:dyDescent="0.2">
      <c r="A113" s="46" t="s">
        <v>49</v>
      </c>
      <c r="B113" s="46">
        <v>4173</v>
      </c>
      <c r="C113" s="46" t="s">
        <v>58</v>
      </c>
      <c r="D113" s="46">
        <v>52</v>
      </c>
      <c r="E113" s="46">
        <v>175</v>
      </c>
      <c r="F113" s="46">
        <v>227</v>
      </c>
      <c r="G113" s="46">
        <v>227</v>
      </c>
      <c r="H113" s="46" t="s">
        <v>54</v>
      </c>
      <c r="I113" s="46">
        <v>100</v>
      </c>
      <c r="J113" s="2">
        <v>1</v>
      </c>
      <c r="K113" s="46">
        <v>100</v>
      </c>
      <c r="L113" s="46">
        <v>4</v>
      </c>
      <c r="M113" s="46">
        <v>2</v>
      </c>
      <c r="N113" s="46">
        <v>3</v>
      </c>
    </row>
    <row r="114" spans="1:14" x14ac:dyDescent="0.2">
      <c r="A114" s="46" t="s">
        <v>49</v>
      </c>
      <c r="B114" s="46">
        <v>4203</v>
      </c>
      <c r="C114" s="46" t="s">
        <v>58</v>
      </c>
      <c r="D114" s="46">
        <v>238</v>
      </c>
      <c r="E114" s="46">
        <v>0</v>
      </c>
      <c r="F114" s="46">
        <v>238</v>
      </c>
      <c r="G114" s="46">
        <v>238</v>
      </c>
      <c r="H114" s="46" t="s">
        <v>54</v>
      </c>
      <c r="I114" s="46">
        <v>100</v>
      </c>
      <c r="J114" s="2">
        <v>1</v>
      </c>
      <c r="K114" s="46">
        <v>100</v>
      </c>
      <c r="L114" s="46">
        <v>4</v>
      </c>
      <c r="M114" s="46">
        <v>2</v>
      </c>
      <c r="N114" s="46">
        <v>3</v>
      </c>
    </row>
    <row r="115" spans="1:14" x14ac:dyDescent="0.2">
      <c r="A115" s="46" t="s">
        <v>49</v>
      </c>
      <c r="B115" s="46">
        <v>4582</v>
      </c>
      <c r="C115" s="46" t="s">
        <v>58</v>
      </c>
      <c r="D115" s="46">
        <v>175</v>
      </c>
      <c r="E115" s="46">
        <v>0</v>
      </c>
      <c r="F115" s="46">
        <v>175</v>
      </c>
      <c r="G115" s="46">
        <v>175</v>
      </c>
      <c r="H115" s="46" t="s">
        <v>54</v>
      </c>
      <c r="I115" s="46">
        <v>100</v>
      </c>
      <c r="J115" s="2">
        <v>1</v>
      </c>
      <c r="K115" s="46">
        <v>100</v>
      </c>
      <c r="L115" s="46">
        <v>4</v>
      </c>
      <c r="M115" s="46">
        <v>2</v>
      </c>
      <c r="N115" s="46">
        <v>3</v>
      </c>
    </row>
    <row r="116" spans="1:14" x14ac:dyDescent="0.2">
      <c r="A116" s="46" t="s">
        <v>49</v>
      </c>
      <c r="B116" s="46">
        <v>1709</v>
      </c>
      <c r="C116" s="46" t="s">
        <v>57</v>
      </c>
      <c r="D116" s="46">
        <v>233</v>
      </c>
      <c r="E116" s="46">
        <v>180</v>
      </c>
      <c r="F116" s="46">
        <v>413</v>
      </c>
      <c r="G116" s="46">
        <v>413</v>
      </c>
      <c r="H116" s="46" t="s">
        <v>55</v>
      </c>
      <c r="I116" s="46">
        <v>100</v>
      </c>
      <c r="J116" s="2">
        <v>1</v>
      </c>
      <c r="K116" s="46">
        <v>100</v>
      </c>
      <c r="L116" s="46">
        <v>4</v>
      </c>
      <c r="M116" s="46">
        <v>3</v>
      </c>
      <c r="N116" s="46">
        <v>2</v>
      </c>
    </row>
    <row r="117" spans="1:14" x14ac:dyDescent="0.2">
      <c r="A117" s="46" t="s">
        <v>49</v>
      </c>
      <c r="B117" s="46">
        <v>2904</v>
      </c>
      <c r="C117" s="46" t="s">
        <v>57</v>
      </c>
      <c r="D117" s="46">
        <v>403</v>
      </c>
      <c r="E117" s="46">
        <v>0</v>
      </c>
      <c r="F117" s="46">
        <v>403</v>
      </c>
      <c r="G117" s="46">
        <v>353</v>
      </c>
      <c r="H117" s="46" t="s">
        <v>55</v>
      </c>
      <c r="I117" s="46">
        <v>114.16430594900851</v>
      </c>
      <c r="J117" s="2">
        <v>1</v>
      </c>
      <c r="K117" s="46">
        <v>100</v>
      </c>
      <c r="L117" s="46">
        <v>4</v>
      </c>
      <c r="M117" s="46">
        <v>3</v>
      </c>
      <c r="N117" s="46">
        <v>2</v>
      </c>
    </row>
    <row r="118" spans="1:14" x14ac:dyDescent="0.2">
      <c r="A118" s="46" t="s">
        <v>49</v>
      </c>
      <c r="B118" s="46">
        <v>3892</v>
      </c>
      <c r="C118" s="46" t="s">
        <v>58</v>
      </c>
      <c r="D118" s="46">
        <v>564</v>
      </c>
      <c r="E118" s="46">
        <v>0</v>
      </c>
      <c r="F118" s="46">
        <v>564</v>
      </c>
      <c r="G118" s="46">
        <v>564</v>
      </c>
      <c r="H118" s="46" t="s">
        <v>55</v>
      </c>
      <c r="I118" s="46">
        <v>100</v>
      </c>
      <c r="J118" s="2">
        <v>1</v>
      </c>
      <c r="K118" s="46">
        <v>100</v>
      </c>
      <c r="L118" s="46">
        <v>4</v>
      </c>
      <c r="M118" s="46">
        <v>3</v>
      </c>
      <c r="N118" s="46">
        <v>3</v>
      </c>
    </row>
    <row r="119" spans="1:14" x14ac:dyDescent="0.2">
      <c r="A119" s="46" t="s">
        <v>49</v>
      </c>
      <c r="B119" s="46">
        <v>3957</v>
      </c>
      <c r="C119" s="46" t="s">
        <v>58</v>
      </c>
      <c r="D119" s="46">
        <v>499</v>
      </c>
      <c r="E119" s="46">
        <v>0</v>
      </c>
      <c r="F119" s="46">
        <v>499</v>
      </c>
      <c r="G119" s="46">
        <v>499</v>
      </c>
      <c r="H119" s="46" t="s">
        <v>55</v>
      </c>
      <c r="I119" s="46">
        <v>100</v>
      </c>
      <c r="J119" s="2">
        <v>1</v>
      </c>
      <c r="K119" s="46">
        <v>100</v>
      </c>
      <c r="L119" s="46">
        <v>4</v>
      </c>
      <c r="M119" s="46">
        <v>3</v>
      </c>
      <c r="N119" s="46">
        <v>3</v>
      </c>
    </row>
    <row r="120" spans="1:14" x14ac:dyDescent="0.2">
      <c r="A120" s="46" t="s">
        <v>49</v>
      </c>
      <c r="B120" s="46">
        <v>4372</v>
      </c>
      <c r="C120" s="46" t="s">
        <v>58</v>
      </c>
      <c r="D120" s="46">
        <v>514</v>
      </c>
      <c r="E120" s="46">
        <v>0</v>
      </c>
      <c r="F120" s="46">
        <v>514</v>
      </c>
      <c r="G120" s="46">
        <v>514</v>
      </c>
      <c r="H120" s="46" t="s">
        <v>55</v>
      </c>
      <c r="I120" s="46">
        <v>100</v>
      </c>
      <c r="J120" s="2">
        <v>1</v>
      </c>
      <c r="K120" s="46">
        <v>100</v>
      </c>
      <c r="L120" s="46">
        <v>4</v>
      </c>
      <c r="M120" s="46">
        <v>3</v>
      </c>
      <c r="N120" s="46">
        <v>3</v>
      </c>
    </row>
    <row r="121" spans="1:14" x14ac:dyDescent="0.2">
      <c r="A121" s="46" t="s">
        <v>49</v>
      </c>
      <c r="B121" s="46">
        <v>4416</v>
      </c>
      <c r="C121" s="46" t="s">
        <v>58</v>
      </c>
      <c r="D121" s="46">
        <v>530</v>
      </c>
      <c r="E121" s="46">
        <v>0</v>
      </c>
      <c r="F121" s="46">
        <v>530</v>
      </c>
      <c r="G121" s="46">
        <v>530</v>
      </c>
      <c r="H121" s="46" t="s">
        <v>55</v>
      </c>
      <c r="I121" s="46">
        <v>100</v>
      </c>
      <c r="J121" s="2">
        <v>1</v>
      </c>
      <c r="K121" s="46">
        <v>100</v>
      </c>
      <c r="L121" s="46">
        <v>4</v>
      </c>
      <c r="M121" s="46">
        <v>3</v>
      </c>
      <c r="N121" s="46">
        <v>3</v>
      </c>
    </row>
    <row r="122" spans="1:14" x14ac:dyDescent="0.2">
      <c r="A122" s="46" t="s">
        <v>49</v>
      </c>
      <c r="B122" s="46">
        <v>4494</v>
      </c>
      <c r="C122" s="46" t="s">
        <v>58</v>
      </c>
      <c r="D122" s="46">
        <v>306</v>
      </c>
      <c r="E122" s="46">
        <v>0</v>
      </c>
      <c r="F122" s="46">
        <v>306</v>
      </c>
      <c r="G122" s="46">
        <v>306</v>
      </c>
      <c r="H122" s="46" t="s">
        <v>55</v>
      </c>
      <c r="I122" s="46">
        <v>100</v>
      </c>
      <c r="J122" s="2">
        <v>1</v>
      </c>
      <c r="K122" s="46">
        <v>100</v>
      </c>
      <c r="L122" s="46">
        <v>4</v>
      </c>
      <c r="M122" s="46">
        <v>3</v>
      </c>
      <c r="N122" s="46">
        <v>3</v>
      </c>
    </row>
    <row r="123" spans="1:14" x14ac:dyDescent="0.2">
      <c r="A123" s="46" t="s">
        <v>49</v>
      </c>
      <c r="B123" s="46">
        <v>4566</v>
      </c>
      <c r="C123" s="46" t="s">
        <v>58</v>
      </c>
      <c r="D123" s="46">
        <v>500</v>
      </c>
      <c r="E123" s="46">
        <v>0</v>
      </c>
      <c r="F123" s="46">
        <v>500</v>
      </c>
      <c r="G123" s="46">
        <v>500</v>
      </c>
      <c r="H123" s="46" t="s">
        <v>55</v>
      </c>
      <c r="I123" s="46">
        <v>100</v>
      </c>
      <c r="J123" s="2">
        <v>1</v>
      </c>
      <c r="K123" s="46">
        <v>100</v>
      </c>
      <c r="L123" s="46">
        <v>4</v>
      </c>
      <c r="M123" s="46">
        <v>3</v>
      </c>
      <c r="N123" s="46">
        <v>3</v>
      </c>
    </row>
    <row r="124" spans="1:14" x14ac:dyDescent="0.2">
      <c r="A124" s="46" t="s">
        <v>49</v>
      </c>
      <c r="B124" s="46">
        <v>3776</v>
      </c>
      <c r="C124" s="46" t="s">
        <v>58</v>
      </c>
      <c r="D124" s="46">
        <v>680</v>
      </c>
      <c r="E124" s="46">
        <v>0</v>
      </c>
      <c r="F124" s="46">
        <v>680</v>
      </c>
      <c r="G124" s="46">
        <v>680</v>
      </c>
      <c r="H124" s="46" t="s">
        <v>55</v>
      </c>
      <c r="I124" s="46">
        <v>100</v>
      </c>
      <c r="J124" s="2">
        <v>1</v>
      </c>
      <c r="K124" s="46">
        <v>100</v>
      </c>
      <c r="L124" s="46">
        <v>4</v>
      </c>
      <c r="M124" s="46">
        <v>3</v>
      </c>
      <c r="N124" s="46">
        <v>3</v>
      </c>
    </row>
    <row r="125" spans="1:14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46"/>
      <c r="L125" s="62"/>
      <c r="M125" s="6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9"/>
  <sheetViews>
    <sheetView tabSelected="1" workbookViewId="0">
      <selection activeCell="P54" sqref="P54"/>
    </sheetView>
  </sheetViews>
  <sheetFormatPr defaultRowHeight="14.25" x14ac:dyDescent="0.2"/>
  <sheetData>
    <row r="1" spans="1:16" x14ac:dyDescent="0.2">
      <c r="A1" s="3" t="s">
        <v>9</v>
      </c>
      <c r="B1" s="3" t="s">
        <v>10</v>
      </c>
      <c r="C1" s="3" t="s">
        <v>11</v>
      </c>
      <c r="D1" s="3" t="s">
        <v>12</v>
      </c>
      <c r="E1" s="4" t="s">
        <v>13</v>
      </c>
      <c r="F1" s="4" t="s">
        <v>14</v>
      </c>
      <c r="G1" s="3" t="s">
        <v>15</v>
      </c>
      <c r="H1" s="3" t="s">
        <v>16</v>
      </c>
      <c r="I1" s="5"/>
      <c r="J1" s="6"/>
      <c r="K1" s="6"/>
      <c r="L1" s="7"/>
      <c r="M1" s="7"/>
      <c r="N1" s="7"/>
      <c r="O1" s="7"/>
      <c r="P1" s="5"/>
    </row>
    <row r="2" spans="1:16" x14ac:dyDescent="0.2">
      <c r="A2" s="8" t="s">
        <v>17</v>
      </c>
      <c r="B2" s="38">
        <f>13/123</f>
        <v>0.10569105691056911</v>
      </c>
      <c r="C2" s="8" t="s">
        <v>18</v>
      </c>
      <c r="D2" s="39">
        <f>5/13</f>
        <v>0.38461538461538464</v>
      </c>
      <c r="E2" s="11" t="s">
        <v>19</v>
      </c>
      <c r="F2" s="40">
        <v>0.4</v>
      </c>
      <c r="G2" s="13">
        <f t="shared" ref="G2:G37" si="0">SUM(B2*D2*F2)</f>
        <v>1.6260162601626018E-2</v>
      </c>
      <c r="H2" s="13">
        <f t="shared" ref="H2:H10" si="1">G2/(G2+G11+G20+G29)</f>
        <v>0.16666666666666669</v>
      </c>
      <c r="I2" s="14"/>
      <c r="J2" s="15" t="s">
        <v>20</v>
      </c>
      <c r="K2" s="15" t="s">
        <v>0</v>
      </c>
      <c r="L2" s="16" t="s">
        <v>6</v>
      </c>
      <c r="M2" s="16" t="s">
        <v>21</v>
      </c>
      <c r="N2" s="16" t="s">
        <v>22</v>
      </c>
      <c r="O2" s="17">
        <v>1</v>
      </c>
      <c r="P2" s="14"/>
    </row>
    <row r="3" spans="1:16" x14ac:dyDescent="0.2">
      <c r="A3" s="8" t="s">
        <v>17</v>
      </c>
      <c r="B3" s="38">
        <v>0.10569105691056911</v>
      </c>
      <c r="C3" s="8" t="s">
        <v>18</v>
      </c>
      <c r="D3" s="39">
        <v>0.38461538461538464</v>
      </c>
      <c r="E3" s="11" t="s">
        <v>23</v>
      </c>
      <c r="F3" s="40">
        <v>0.6</v>
      </c>
      <c r="G3" s="13">
        <f t="shared" si="0"/>
        <v>2.4390243902439029E-2</v>
      </c>
      <c r="H3" s="13">
        <f t="shared" si="1"/>
        <v>0.10714285714285715</v>
      </c>
      <c r="I3" s="14"/>
      <c r="J3" s="18" t="s">
        <v>18</v>
      </c>
      <c r="K3" s="19" t="s">
        <v>19</v>
      </c>
      <c r="L3" s="20">
        <f t="shared" ref="L3:L11" si="2">H2</f>
        <v>0.16666666666666669</v>
      </c>
      <c r="M3" s="20">
        <f>H11</f>
        <v>8.3333333333333315E-2</v>
      </c>
      <c r="N3" s="20">
        <f>H20</f>
        <v>8.3333333333333315E-2</v>
      </c>
      <c r="O3" s="20">
        <f>H29</f>
        <v>0.66666666666666663</v>
      </c>
      <c r="P3" s="14"/>
    </row>
    <row r="4" spans="1:16" x14ac:dyDescent="0.2">
      <c r="A4" s="8" t="s">
        <v>17</v>
      </c>
      <c r="B4" s="38">
        <v>0.105691056910569</v>
      </c>
      <c r="C4" s="8" t="s">
        <v>18</v>
      </c>
      <c r="D4" s="39">
        <v>0.38461538461538464</v>
      </c>
      <c r="E4" s="11" t="s">
        <v>24</v>
      </c>
      <c r="F4" s="40">
        <v>0</v>
      </c>
      <c r="G4" s="13">
        <f t="shared" si="0"/>
        <v>0</v>
      </c>
      <c r="H4" s="13">
        <f t="shared" si="1"/>
        <v>0</v>
      </c>
      <c r="I4" s="14"/>
      <c r="J4" s="18" t="s">
        <v>18</v>
      </c>
      <c r="K4" s="19" t="s">
        <v>25</v>
      </c>
      <c r="L4" s="20">
        <f t="shared" si="2"/>
        <v>0.10714285714285715</v>
      </c>
      <c r="M4" s="20">
        <f>H12</f>
        <v>7.1428571428571411E-2</v>
      </c>
      <c r="N4" s="20">
        <f>H21</f>
        <v>3.5714285714285712E-2</v>
      </c>
      <c r="O4" s="20">
        <f t="shared" ref="O4:O11" si="3">H30</f>
        <v>0.78571428571428581</v>
      </c>
      <c r="P4" s="14"/>
    </row>
    <row r="5" spans="1:16" x14ac:dyDescent="0.2">
      <c r="A5" s="8" t="s">
        <v>17</v>
      </c>
      <c r="B5" s="38">
        <v>0.105691056910569</v>
      </c>
      <c r="C5" s="8" t="s">
        <v>26</v>
      </c>
      <c r="D5" s="39">
        <v>0.23076923076923078</v>
      </c>
      <c r="E5" s="11" t="s">
        <v>19</v>
      </c>
      <c r="F5" s="40">
        <v>0</v>
      </c>
      <c r="G5" s="13">
        <f t="shared" si="0"/>
        <v>0</v>
      </c>
      <c r="H5" s="13">
        <f t="shared" si="1"/>
        <v>0</v>
      </c>
      <c r="I5" s="14"/>
      <c r="J5" s="18" t="s">
        <v>18</v>
      </c>
      <c r="K5" s="19" t="s">
        <v>27</v>
      </c>
      <c r="L5" s="20">
        <f t="shared" si="2"/>
        <v>0</v>
      </c>
      <c r="M5" s="20">
        <f t="shared" ref="M5:M11" si="4">H13</f>
        <v>0</v>
      </c>
      <c r="N5" s="20">
        <f t="shared" ref="N5:N11" si="5">H22</f>
        <v>6.2499999999999896E-2</v>
      </c>
      <c r="O5" s="20">
        <f t="shared" si="3"/>
        <v>0.93750000000000011</v>
      </c>
      <c r="P5" s="14"/>
    </row>
    <row r="6" spans="1:16" x14ac:dyDescent="0.2">
      <c r="A6" s="8" t="s">
        <v>17</v>
      </c>
      <c r="B6" s="38">
        <v>0.105691056910569</v>
      </c>
      <c r="C6" s="8" t="s">
        <v>26</v>
      </c>
      <c r="D6" s="39">
        <v>0.23076923076923078</v>
      </c>
      <c r="E6" s="11" t="s">
        <v>23</v>
      </c>
      <c r="F6" s="40">
        <v>1</v>
      </c>
      <c r="G6" s="13">
        <f t="shared" si="0"/>
        <v>2.4390243902439001E-2</v>
      </c>
      <c r="H6" s="13">
        <f t="shared" si="1"/>
        <v>0.13636363636363621</v>
      </c>
      <c r="I6" s="14"/>
      <c r="J6" s="21" t="s">
        <v>46</v>
      </c>
      <c r="K6" s="22" t="s">
        <v>19</v>
      </c>
      <c r="L6" s="23">
        <f t="shared" si="2"/>
        <v>0</v>
      </c>
      <c r="M6" s="23">
        <f t="shared" si="4"/>
        <v>0.5</v>
      </c>
      <c r="N6" s="23">
        <f t="shared" si="5"/>
        <v>0.5</v>
      </c>
      <c r="O6" s="23">
        <f t="shared" si="3"/>
        <v>0</v>
      </c>
      <c r="P6" s="14"/>
    </row>
    <row r="7" spans="1:16" x14ac:dyDescent="0.2">
      <c r="A7" s="8" t="s">
        <v>17</v>
      </c>
      <c r="B7" s="38">
        <v>0.105691056910569</v>
      </c>
      <c r="C7" s="8" t="s">
        <v>26</v>
      </c>
      <c r="D7" s="39">
        <v>0.23076923076923078</v>
      </c>
      <c r="E7" s="11" t="s">
        <v>24</v>
      </c>
      <c r="F7" s="40">
        <v>0</v>
      </c>
      <c r="G7" s="13">
        <f t="shared" si="0"/>
        <v>0</v>
      </c>
      <c r="H7" s="13">
        <f t="shared" si="1"/>
        <v>0</v>
      </c>
      <c r="I7" s="14"/>
      <c r="J7" s="21" t="s">
        <v>46</v>
      </c>
      <c r="K7" s="19" t="s">
        <v>25</v>
      </c>
      <c r="L7" s="20">
        <f t="shared" si="2"/>
        <v>0.13636363636363621</v>
      </c>
      <c r="M7" s="20">
        <f t="shared" si="4"/>
        <v>4.54545454545454E-2</v>
      </c>
      <c r="N7" s="20">
        <f t="shared" si="5"/>
        <v>0.22727272727272704</v>
      </c>
      <c r="O7" s="20">
        <f t="shared" si="3"/>
        <v>0.59090909090909127</v>
      </c>
      <c r="P7" s="14"/>
    </row>
    <row r="8" spans="1:16" x14ac:dyDescent="0.2">
      <c r="A8" s="8" t="s">
        <v>17</v>
      </c>
      <c r="B8" s="38">
        <v>0.105691056910569</v>
      </c>
      <c r="C8" s="8" t="s">
        <v>28</v>
      </c>
      <c r="D8" s="39">
        <v>0.38461538461538464</v>
      </c>
      <c r="E8" s="11" t="s">
        <v>19</v>
      </c>
      <c r="F8" s="40">
        <v>0</v>
      </c>
      <c r="G8" s="13">
        <f t="shared" si="0"/>
        <v>0</v>
      </c>
      <c r="H8" s="13">
        <v>0</v>
      </c>
      <c r="I8" s="14"/>
      <c r="J8" s="21" t="s">
        <v>46</v>
      </c>
      <c r="K8" s="19" t="s">
        <v>27</v>
      </c>
      <c r="L8" s="20">
        <f t="shared" si="2"/>
        <v>0</v>
      </c>
      <c r="M8" s="23">
        <f>H16</f>
        <v>0.21428571428571408</v>
      </c>
      <c r="N8" s="20">
        <f t="shared" si="5"/>
        <v>0.35714285714285682</v>
      </c>
      <c r="O8" s="20">
        <f t="shared" si="3"/>
        <v>0.42857142857142899</v>
      </c>
      <c r="P8" s="14"/>
    </row>
    <row r="9" spans="1:16" x14ac:dyDescent="0.2">
      <c r="A9" s="8" t="s">
        <v>17</v>
      </c>
      <c r="B9" s="38">
        <v>0.105691056910569</v>
      </c>
      <c r="C9" s="8" t="s">
        <v>28</v>
      </c>
      <c r="D9" s="39">
        <v>0.38461538461538464</v>
      </c>
      <c r="E9" s="11" t="s">
        <v>23</v>
      </c>
      <c r="F9" s="40">
        <v>0.8</v>
      </c>
      <c r="G9" s="13">
        <f t="shared" si="0"/>
        <v>3.2520325203252008E-2</v>
      </c>
      <c r="H9" s="13">
        <f t="shared" si="1"/>
        <v>0.36363636363636365</v>
      </c>
      <c r="I9" s="14"/>
      <c r="J9" s="18" t="s">
        <v>28</v>
      </c>
      <c r="K9" s="19" t="s">
        <v>19</v>
      </c>
      <c r="L9" s="20">
        <f t="shared" si="2"/>
        <v>0</v>
      </c>
      <c r="M9" s="20">
        <f t="shared" si="4"/>
        <v>0</v>
      </c>
      <c r="N9" s="20">
        <f t="shared" si="5"/>
        <v>0</v>
      </c>
      <c r="O9" s="20">
        <f t="shared" si="3"/>
        <v>0</v>
      </c>
      <c r="P9" s="14"/>
    </row>
    <row r="10" spans="1:16" x14ac:dyDescent="0.2">
      <c r="A10" s="8" t="s">
        <v>17</v>
      </c>
      <c r="B10" s="38">
        <v>0.105691056910569</v>
      </c>
      <c r="C10" s="8" t="s">
        <v>28</v>
      </c>
      <c r="D10" s="39">
        <v>0.38461538461538464</v>
      </c>
      <c r="E10" s="11" t="s">
        <v>24</v>
      </c>
      <c r="F10" s="40">
        <v>0.2</v>
      </c>
      <c r="G10" s="13">
        <f t="shared" si="0"/>
        <v>8.1300813008130021E-3</v>
      </c>
      <c r="H10" s="13">
        <f t="shared" si="1"/>
        <v>5.5555555555555539E-2</v>
      </c>
      <c r="I10" s="14"/>
      <c r="J10" s="18" t="s">
        <v>28</v>
      </c>
      <c r="K10" s="19" t="s">
        <v>25</v>
      </c>
      <c r="L10" s="20">
        <f t="shared" si="2"/>
        <v>0.36363636363636365</v>
      </c>
      <c r="M10" s="20">
        <f t="shared" si="4"/>
        <v>0.27272727272727265</v>
      </c>
      <c r="N10" s="20">
        <f t="shared" si="5"/>
        <v>0.18181818181818171</v>
      </c>
      <c r="O10" s="20">
        <f t="shared" si="3"/>
        <v>0.18181818181818205</v>
      </c>
      <c r="P10" s="14"/>
    </row>
    <row r="11" spans="1:16" x14ac:dyDescent="0.2">
      <c r="A11" s="8" t="s">
        <v>29</v>
      </c>
      <c r="B11" s="38">
        <f>16/123</f>
        <v>0.13008130081300814</v>
      </c>
      <c r="C11" s="8" t="s">
        <v>18</v>
      </c>
      <c r="D11" s="39">
        <v>0.1875</v>
      </c>
      <c r="E11" s="11" t="s">
        <v>19</v>
      </c>
      <c r="F11" s="40">
        <v>0.33333333333333331</v>
      </c>
      <c r="G11" s="13">
        <f t="shared" si="0"/>
        <v>8.1300813008130073E-3</v>
      </c>
      <c r="H11" s="13">
        <f>G11/(G11+G2+G20+G29)</f>
        <v>8.3333333333333315E-2</v>
      </c>
      <c r="I11" s="14"/>
      <c r="J11" s="18" t="s">
        <v>28</v>
      </c>
      <c r="K11" s="19" t="s">
        <v>27</v>
      </c>
      <c r="L11" s="20">
        <f t="shared" si="2"/>
        <v>5.5555555555555539E-2</v>
      </c>
      <c r="M11" s="20">
        <f t="shared" si="4"/>
        <v>0.27777777777777762</v>
      </c>
      <c r="N11" s="20">
        <f t="shared" si="5"/>
        <v>0.27777777777777757</v>
      </c>
      <c r="O11" s="20">
        <f t="shared" si="3"/>
        <v>0.38888888888888923</v>
      </c>
      <c r="P11" s="14"/>
    </row>
    <row r="12" spans="1:16" x14ac:dyDescent="0.2">
      <c r="A12" s="8" t="s">
        <v>29</v>
      </c>
      <c r="B12" s="38">
        <v>0.13008130081300814</v>
      </c>
      <c r="C12" s="8" t="s">
        <v>18</v>
      </c>
      <c r="D12" s="39">
        <v>0.1875</v>
      </c>
      <c r="E12" s="11" t="s">
        <v>23</v>
      </c>
      <c r="F12" s="40">
        <v>0.66666666666666663</v>
      </c>
      <c r="G12" s="13">
        <f t="shared" si="0"/>
        <v>1.6260162601626015E-2</v>
      </c>
      <c r="H12" s="13">
        <f>G12/(G12+G3+G21+G30)</f>
        <v>7.1428571428571411E-2</v>
      </c>
      <c r="I12" s="14"/>
      <c r="J12" s="13"/>
      <c r="K12" s="11"/>
      <c r="L12" s="24"/>
      <c r="M12" s="24"/>
      <c r="N12" s="24"/>
      <c r="O12" s="24"/>
      <c r="P12" s="14"/>
    </row>
    <row r="13" spans="1:16" x14ac:dyDescent="0.2">
      <c r="A13" s="8" t="s">
        <v>29</v>
      </c>
      <c r="B13" s="38">
        <v>0.13008130081300801</v>
      </c>
      <c r="C13" s="8" t="s">
        <v>18</v>
      </c>
      <c r="D13" s="39">
        <v>0.1875</v>
      </c>
      <c r="E13" s="11" t="s">
        <v>24</v>
      </c>
      <c r="F13" s="40">
        <v>0</v>
      </c>
      <c r="G13" s="13">
        <f t="shared" si="0"/>
        <v>0</v>
      </c>
      <c r="H13" s="13">
        <f>G13/(G13+G4+G22+G31)</f>
        <v>0</v>
      </c>
      <c r="I13" s="14"/>
      <c r="J13" s="3"/>
      <c r="K13" s="41"/>
      <c r="L13" s="42"/>
      <c r="M13" s="41"/>
      <c r="N13" s="42"/>
      <c r="O13" s="41"/>
      <c r="P13" s="42"/>
    </row>
    <row r="14" spans="1:16" x14ac:dyDescent="0.2">
      <c r="A14" s="8" t="s">
        <v>29</v>
      </c>
      <c r="B14" s="38">
        <v>0.13008130081300801</v>
      </c>
      <c r="C14" s="8" t="s">
        <v>26</v>
      </c>
      <c r="D14" s="39">
        <v>0.3125</v>
      </c>
      <c r="E14" s="11" t="s">
        <v>19</v>
      </c>
      <c r="F14" s="40">
        <v>0.2</v>
      </c>
      <c r="G14" s="13">
        <f t="shared" si="0"/>
        <v>8.1300813008130003E-3</v>
      </c>
      <c r="H14" s="13">
        <f>G14/(G14+G5+G23+G32)</f>
        <v>0.5</v>
      </c>
      <c r="I14" s="14"/>
      <c r="J14" s="13"/>
      <c r="K14" s="12"/>
      <c r="L14" s="12"/>
      <c r="M14" s="12"/>
      <c r="N14" s="24"/>
      <c r="O14" s="24"/>
      <c r="P14" s="12"/>
    </row>
    <row r="15" spans="1:16" x14ac:dyDescent="0.2">
      <c r="A15" s="8" t="s">
        <v>29</v>
      </c>
      <c r="B15" s="38">
        <v>0.13008130081300801</v>
      </c>
      <c r="C15" s="8" t="s">
        <v>26</v>
      </c>
      <c r="D15" s="39">
        <v>0.3125</v>
      </c>
      <c r="E15" s="11" t="s">
        <v>23</v>
      </c>
      <c r="F15" s="40">
        <v>0.2</v>
      </c>
      <c r="G15" s="13">
        <f t="shared" si="0"/>
        <v>8.1300813008130003E-3</v>
      </c>
      <c r="H15" s="13">
        <f>G15/(G6+G15+G24+G33)</f>
        <v>4.54545454545454E-2</v>
      </c>
      <c r="I15" s="14"/>
      <c r="J15" s="13"/>
      <c r="K15" s="12"/>
      <c r="L15" s="12"/>
      <c r="M15" s="12"/>
      <c r="N15" s="24"/>
      <c r="O15" s="24"/>
      <c r="P15" s="12"/>
    </row>
    <row r="16" spans="1:16" x14ac:dyDescent="0.2">
      <c r="A16" s="8" t="s">
        <v>29</v>
      </c>
      <c r="B16" s="38">
        <v>0.13008130081300801</v>
      </c>
      <c r="C16" s="8" t="s">
        <v>26</v>
      </c>
      <c r="D16" s="39">
        <v>0.3125</v>
      </c>
      <c r="E16" s="11" t="s">
        <v>24</v>
      </c>
      <c r="F16" s="40">
        <v>0.6</v>
      </c>
      <c r="G16" s="13">
        <f t="shared" si="0"/>
        <v>2.4390243902438997E-2</v>
      </c>
      <c r="H16" s="13">
        <f>G16/(G16+G7+G25+G34)</f>
        <v>0.21428571428571408</v>
      </c>
      <c r="I16" s="14"/>
      <c r="J16" s="13"/>
      <c r="K16" s="12"/>
      <c r="L16" s="12"/>
      <c r="M16" s="12"/>
      <c r="N16" s="24"/>
      <c r="O16" s="24"/>
      <c r="P16" s="12"/>
    </row>
    <row r="17" spans="1:16" x14ac:dyDescent="0.2">
      <c r="A17" s="8" t="s">
        <v>29</v>
      </c>
      <c r="B17" s="38">
        <v>0.13008130081300801</v>
      </c>
      <c r="C17" s="8" t="s">
        <v>28</v>
      </c>
      <c r="D17" s="39">
        <v>0.5</v>
      </c>
      <c r="E17" s="11" t="s">
        <v>19</v>
      </c>
      <c r="F17" s="40">
        <v>0</v>
      </c>
      <c r="G17" s="13">
        <f t="shared" si="0"/>
        <v>0</v>
      </c>
      <c r="H17" s="13">
        <v>0</v>
      </c>
      <c r="I17" s="14"/>
      <c r="J17" s="43"/>
      <c r="K17" s="12"/>
      <c r="L17" s="12"/>
      <c r="M17" s="12"/>
      <c r="N17" s="24"/>
      <c r="O17" s="24"/>
      <c r="P17" s="12"/>
    </row>
    <row r="18" spans="1:16" x14ac:dyDescent="0.2">
      <c r="A18" s="8" t="s">
        <v>29</v>
      </c>
      <c r="B18" s="38">
        <v>0.13008130081300801</v>
      </c>
      <c r="C18" s="8" t="s">
        <v>28</v>
      </c>
      <c r="D18" s="39">
        <v>0.5</v>
      </c>
      <c r="E18" s="11" t="s">
        <v>23</v>
      </c>
      <c r="F18" s="40">
        <v>0.375</v>
      </c>
      <c r="G18" s="13">
        <f t="shared" si="0"/>
        <v>2.4390243902439001E-2</v>
      </c>
      <c r="H18" s="13">
        <f>G18/(G18+G9+G27+G36)</f>
        <v>0.27272727272727265</v>
      </c>
      <c r="I18" s="14"/>
      <c r="J18" s="13"/>
      <c r="K18" s="24"/>
      <c r="L18" s="13"/>
      <c r="M18" s="13"/>
      <c r="N18" s="13"/>
      <c r="O18" s="13"/>
      <c r="P18" s="13"/>
    </row>
    <row r="19" spans="1:16" x14ac:dyDescent="0.2">
      <c r="A19" s="8" t="s">
        <v>29</v>
      </c>
      <c r="B19" s="38">
        <v>0.13008130081300801</v>
      </c>
      <c r="C19" s="8" t="s">
        <v>28</v>
      </c>
      <c r="D19" s="39">
        <v>0.5</v>
      </c>
      <c r="E19" s="11" t="s">
        <v>24</v>
      </c>
      <c r="F19" s="40">
        <v>0.625</v>
      </c>
      <c r="G19" s="13">
        <f t="shared" si="0"/>
        <v>4.0650406504064998E-2</v>
      </c>
      <c r="H19" s="13">
        <f>G19/(G19+G10+G28+G37)</f>
        <v>0.27777777777777762</v>
      </c>
      <c r="I19" s="14"/>
      <c r="J19" s="13"/>
      <c r="K19" s="44"/>
      <c r="L19" s="44"/>
      <c r="M19" s="44"/>
      <c r="N19" s="44"/>
      <c r="O19" s="44"/>
      <c r="P19" s="44"/>
    </row>
    <row r="20" spans="1:16" x14ac:dyDescent="0.2">
      <c r="A20" s="8" t="s">
        <v>41</v>
      </c>
      <c r="B20" s="38">
        <f>21/123</f>
        <v>0.17073170731707318</v>
      </c>
      <c r="C20" s="8" t="s">
        <v>18</v>
      </c>
      <c r="D20" s="39">
        <f>3/21</f>
        <v>0.14285714285714285</v>
      </c>
      <c r="E20" s="11" t="s">
        <v>19</v>
      </c>
      <c r="F20" s="40">
        <f>1/3</f>
        <v>0.33333333333333331</v>
      </c>
      <c r="G20" s="13">
        <f t="shared" si="0"/>
        <v>8.1300813008130073E-3</v>
      </c>
      <c r="H20" s="13">
        <f>G20/(G2+G11+G20+G29)</f>
        <v>8.3333333333333315E-2</v>
      </c>
      <c r="I20" s="14"/>
      <c r="J20" s="14"/>
      <c r="K20" s="30"/>
      <c r="L20" s="14"/>
      <c r="M20" s="14"/>
      <c r="N20" s="14"/>
      <c r="O20" s="14"/>
      <c r="P20" s="14"/>
    </row>
    <row r="21" spans="1:16" x14ac:dyDescent="0.2">
      <c r="A21" s="8" t="s">
        <v>41</v>
      </c>
      <c r="B21" s="38">
        <v>0.17073170731707318</v>
      </c>
      <c r="C21" s="8" t="s">
        <v>18</v>
      </c>
      <c r="D21" s="39">
        <f>3/21</f>
        <v>0.14285714285714285</v>
      </c>
      <c r="E21" s="11" t="s">
        <v>23</v>
      </c>
      <c r="F21" s="40">
        <f>1/3</f>
        <v>0.33333333333333331</v>
      </c>
      <c r="G21" s="13">
        <f t="shared" si="0"/>
        <v>8.1300813008130073E-3</v>
      </c>
      <c r="H21" s="13">
        <f>G21/(G21+G30+G3+G12)</f>
        <v>3.5714285714285712E-2</v>
      </c>
      <c r="I21" s="14"/>
      <c r="J21" s="37"/>
      <c r="K21" s="37"/>
      <c r="L21" s="37"/>
      <c r="M21" s="37"/>
      <c r="N21" s="14"/>
      <c r="O21" s="14"/>
      <c r="P21" s="14"/>
    </row>
    <row r="22" spans="1:16" x14ac:dyDescent="0.2">
      <c r="A22" s="8" t="s">
        <v>41</v>
      </c>
      <c r="B22" s="38">
        <v>0.17073170731707299</v>
      </c>
      <c r="C22" s="8" t="s">
        <v>18</v>
      </c>
      <c r="D22" s="39">
        <f>3/21</f>
        <v>0.14285714285714285</v>
      </c>
      <c r="E22" s="11" t="s">
        <v>24</v>
      </c>
      <c r="F22" s="40">
        <f>1/3</f>
        <v>0.33333333333333331</v>
      </c>
      <c r="G22" s="13">
        <f t="shared" si="0"/>
        <v>8.1300813008129986E-3</v>
      </c>
      <c r="H22" s="13">
        <f>G22/(G22+G31+G4+G13)</f>
        <v>6.2499999999999896E-2</v>
      </c>
      <c r="I22" s="14"/>
      <c r="J22" s="14"/>
      <c r="K22" s="14"/>
      <c r="L22" s="14"/>
      <c r="M22" s="14"/>
      <c r="N22" s="14"/>
      <c r="O22" s="14"/>
      <c r="P22" s="14"/>
    </row>
    <row r="23" spans="1:16" x14ac:dyDescent="0.2">
      <c r="A23" s="8" t="s">
        <v>41</v>
      </c>
      <c r="B23" s="38">
        <v>0.17073170731707299</v>
      </c>
      <c r="C23" s="8" t="s">
        <v>26</v>
      </c>
      <c r="D23" s="39">
        <f>11/21</f>
        <v>0.52380952380952384</v>
      </c>
      <c r="E23" s="11" t="s">
        <v>19</v>
      </c>
      <c r="F23" s="40">
        <f>1/11</f>
        <v>9.0909090909090912E-2</v>
      </c>
      <c r="G23" s="13">
        <f t="shared" si="0"/>
        <v>8.1300813008130003E-3</v>
      </c>
      <c r="H23" s="13">
        <f>G23/(G23+G32+G5+G14)</f>
        <v>0.5</v>
      </c>
      <c r="I23" s="14"/>
      <c r="J23" s="14"/>
      <c r="K23" s="14"/>
      <c r="L23" s="14"/>
      <c r="M23" s="14"/>
      <c r="N23" s="14"/>
      <c r="O23" s="14"/>
      <c r="P23" s="14"/>
    </row>
    <row r="24" spans="1:16" x14ac:dyDescent="0.2">
      <c r="A24" s="8" t="s">
        <v>41</v>
      </c>
      <c r="B24" s="38">
        <v>0.17073170731707299</v>
      </c>
      <c r="C24" s="8" t="s">
        <v>26</v>
      </c>
      <c r="D24" s="39">
        <f>11/21</f>
        <v>0.52380952380952384</v>
      </c>
      <c r="E24" s="11" t="s">
        <v>23</v>
      </c>
      <c r="F24" s="40">
        <f>5/11</f>
        <v>0.45454545454545453</v>
      </c>
      <c r="G24" s="13">
        <f t="shared" si="0"/>
        <v>4.0650406504064998E-2</v>
      </c>
      <c r="H24" s="13">
        <f>G24/(G24+G33+G6+G15)</f>
        <v>0.22727272727272704</v>
      </c>
      <c r="I24" s="14"/>
      <c r="J24" s="14"/>
      <c r="K24" s="14"/>
      <c r="L24" s="14"/>
      <c r="M24" s="14"/>
      <c r="N24" s="14"/>
      <c r="O24" s="14"/>
      <c r="P24" s="14"/>
    </row>
    <row r="25" spans="1:16" x14ac:dyDescent="0.2">
      <c r="A25" s="8" t="s">
        <v>41</v>
      </c>
      <c r="B25" s="38">
        <v>0.17073170731707299</v>
      </c>
      <c r="C25" s="8" t="s">
        <v>26</v>
      </c>
      <c r="D25" s="39">
        <f>11/21</f>
        <v>0.52380952380952384</v>
      </c>
      <c r="E25" s="11" t="s">
        <v>24</v>
      </c>
      <c r="F25" s="40">
        <f>5/11</f>
        <v>0.45454545454545453</v>
      </c>
      <c r="G25" s="13">
        <f t="shared" si="0"/>
        <v>4.0650406504064998E-2</v>
      </c>
      <c r="H25" s="13">
        <f>G25/(G7+G16+G25+G34)</f>
        <v>0.35714285714285682</v>
      </c>
      <c r="I25" s="14"/>
      <c r="J25" s="14"/>
      <c r="K25" s="14"/>
      <c r="L25" s="14"/>
      <c r="M25" s="14"/>
      <c r="N25" s="14"/>
      <c r="O25" s="14"/>
      <c r="P25" s="14"/>
    </row>
    <row r="26" spans="1:16" x14ac:dyDescent="0.2">
      <c r="A26" s="8" t="s">
        <v>41</v>
      </c>
      <c r="B26" s="38">
        <v>0.17073170731707299</v>
      </c>
      <c r="C26" s="8" t="s">
        <v>28</v>
      </c>
      <c r="D26" s="39">
        <f>7/21</f>
        <v>0.33333333333333331</v>
      </c>
      <c r="E26" s="11" t="s">
        <v>19</v>
      </c>
      <c r="F26" s="40">
        <v>0</v>
      </c>
      <c r="G26" s="13">
        <f t="shared" si="0"/>
        <v>0</v>
      </c>
      <c r="H26" s="13">
        <v>0</v>
      </c>
      <c r="I26" s="14"/>
      <c r="J26" s="14"/>
      <c r="K26" s="14"/>
      <c r="L26" s="14"/>
      <c r="M26" s="14"/>
      <c r="N26" s="14"/>
      <c r="O26" s="14"/>
      <c r="P26" s="14"/>
    </row>
    <row r="27" spans="1:16" x14ac:dyDescent="0.2">
      <c r="A27" s="8" t="s">
        <v>41</v>
      </c>
      <c r="B27" s="38">
        <v>0.17073170731707299</v>
      </c>
      <c r="C27" s="8" t="s">
        <v>28</v>
      </c>
      <c r="D27" s="39">
        <f>7/21</f>
        <v>0.33333333333333331</v>
      </c>
      <c r="E27" s="11" t="s">
        <v>23</v>
      </c>
      <c r="F27" s="40">
        <v>0.2857142857142857</v>
      </c>
      <c r="G27" s="13">
        <f t="shared" si="0"/>
        <v>1.6260162601625997E-2</v>
      </c>
      <c r="H27" s="13">
        <f>G27/(G27+G36+G9+G18)</f>
        <v>0.18181818181818171</v>
      </c>
      <c r="I27" s="14"/>
      <c r="J27" s="14"/>
      <c r="K27" s="14"/>
      <c r="L27" s="14"/>
      <c r="M27" s="14"/>
      <c r="N27" s="14"/>
      <c r="O27" s="14"/>
      <c r="P27" s="14"/>
    </row>
    <row r="28" spans="1:16" x14ac:dyDescent="0.2">
      <c r="A28" s="8" t="s">
        <v>41</v>
      </c>
      <c r="B28" s="38">
        <v>0.17073170731707299</v>
      </c>
      <c r="C28" s="8" t="s">
        <v>28</v>
      </c>
      <c r="D28" s="39">
        <f>7/21</f>
        <v>0.33333333333333331</v>
      </c>
      <c r="E28" s="11" t="s">
        <v>24</v>
      </c>
      <c r="F28" s="40">
        <v>0.7142857142857143</v>
      </c>
      <c r="G28" s="13">
        <f t="shared" si="0"/>
        <v>4.0650406504064998E-2</v>
      </c>
      <c r="H28" s="13">
        <f>G28/(G28+G37+G10+G19)</f>
        <v>0.27777777777777757</v>
      </c>
      <c r="I28" s="14"/>
      <c r="J28" s="14"/>
      <c r="K28" s="14"/>
      <c r="L28" s="14"/>
      <c r="M28" s="14"/>
      <c r="N28" s="14"/>
      <c r="O28" s="14"/>
      <c r="P28" s="14"/>
    </row>
    <row r="29" spans="1:16" x14ac:dyDescent="0.2">
      <c r="A29" s="32">
        <v>100</v>
      </c>
      <c r="B29" s="39">
        <v>0.5934959349593496</v>
      </c>
      <c r="C29" s="8" t="s">
        <v>18</v>
      </c>
      <c r="D29" s="39">
        <f>45/73</f>
        <v>0.61643835616438358</v>
      </c>
      <c r="E29" s="11" t="s">
        <v>19</v>
      </c>
      <c r="F29" s="40">
        <f>8/45</f>
        <v>0.17777777777777778</v>
      </c>
      <c r="G29" s="13">
        <f t="shared" si="0"/>
        <v>6.5040650406504072E-2</v>
      </c>
      <c r="H29" s="13">
        <f>G29/(G29+G11+G20+G2)</f>
        <v>0.66666666666666663</v>
      </c>
      <c r="I29" s="14"/>
      <c r="J29" s="14"/>
      <c r="K29" s="14"/>
      <c r="L29" s="14"/>
      <c r="M29" s="14"/>
      <c r="N29" s="14"/>
      <c r="O29" s="14"/>
      <c r="P29" s="14"/>
    </row>
    <row r="30" spans="1:16" x14ac:dyDescent="0.2">
      <c r="A30" s="32">
        <v>100</v>
      </c>
      <c r="B30" s="39">
        <v>0.5934959349593496</v>
      </c>
      <c r="C30" s="8" t="s">
        <v>18</v>
      </c>
      <c r="D30" s="39">
        <f>45/73</f>
        <v>0.61643835616438358</v>
      </c>
      <c r="E30" s="11" t="s">
        <v>23</v>
      </c>
      <c r="F30" s="40">
        <f>22/45</f>
        <v>0.48888888888888887</v>
      </c>
      <c r="G30" s="13">
        <f t="shared" si="0"/>
        <v>0.17886178861788618</v>
      </c>
      <c r="H30" s="13">
        <f t="shared" ref="H30:H34" si="6">G30/(G30+G3+G12+G21)</f>
        <v>0.78571428571428581</v>
      </c>
      <c r="I30" s="14"/>
      <c r="J30" s="33"/>
      <c r="K30" s="14"/>
      <c r="L30" s="14"/>
      <c r="M30" s="14"/>
      <c r="N30" s="14"/>
      <c r="O30" s="14"/>
      <c r="P30" s="14"/>
    </row>
    <row r="31" spans="1:16" x14ac:dyDescent="0.2">
      <c r="A31" s="32">
        <v>100</v>
      </c>
      <c r="B31" s="39">
        <v>0.59349593495935005</v>
      </c>
      <c r="C31" s="8" t="s">
        <v>18</v>
      </c>
      <c r="D31" s="39">
        <f>45/73</f>
        <v>0.61643835616438358</v>
      </c>
      <c r="E31" s="11" t="s">
        <v>24</v>
      </c>
      <c r="F31" s="40">
        <f>15/45</f>
        <v>0.33333333333333331</v>
      </c>
      <c r="G31" s="13">
        <f t="shared" si="0"/>
        <v>0.1219512195121952</v>
      </c>
      <c r="H31" s="13">
        <f t="shared" si="6"/>
        <v>0.93750000000000011</v>
      </c>
      <c r="I31" s="14"/>
      <c r="J31" s="14"/>
      <c r="K31" s="14"/>
      <c r="L31" s="14"/>
      <c r="M31" s="14"/>
      <c r="N31" s="14"/>
      <c r="O31" s="14"/>
      <c r="P31" s="14"/>
    </row>
    <row r="32" spans="1:16" x14ac:dyDescent="0.2">
      <c r="A32" s="32">
        <v>100</v>
      </c>
      <c r="B32" s="39">
        <v>0.59349593495935005</v>
      </c>
      <c r="C32" s="8" t="s">
        <v>26</v>
      </c>
      <c r="D32" s="39">
        <f>19/73</f>
        <v>0.26027397260273971</v>
      </c>
      <c r="E32" s="11" t="s">
        <v>19</v>
      </c>
      <c r="F32" s="40">
        <v>0</v>
      </c>
      <c r="G32" s="13">
        <v>0</v>
      </c>
      <c r="H32" s="13">
        <f t="shared" si="6"/>
        <v>0</v>
      </c>
      <c r="I32" s="33"/>
      <c r="J32" s="14"/>
      <c r="K32" s="14"/>
      <c r="L32" s="14"/>
      <c r="M32" s="14"/>
      <c r="N32" s="14"/>
      <c r="O32" s="14"/>
      <c r="P32" s="14"/>
    </row>
    <row r="33" spans="1:16" x14ac:dyDescent="0.2">
      <c r="A33" s="32">
        <v>100</v>
      </c>
      <c r="B33" s="39">
        <v>0.59349593495935005</v>
      </c>
      <c r="C33" s="8" t="s">
        <v>26</v>
      </c>
      <c r="D33" s="39">
        <f>19/73</f>
        <v>0.26027397260273971</v>
      </c>
      <c r="E33" s="11" t="s">
        <v>23</v>
      </c>
      <c r="F33" s="40">
        <f>13/19</f>
        <v>0.68421052631578949</v>
      </c>
      <c r="G33" s="13">
        <f t="shared" si="0"/>
        <v>0.10569105691056919</v>
      </c>
      <c r="H33" s="13">
        <f t="shared" si="6"/>
        <v>0.59090909090909127</v>
      </c>
      <c r="I33" s="33"/>
      <c r="J33" s="14"/>
      <c r="K33" s="14"/>
      <c r="L33" s="34"/>
      <c r="M33" s="14"/>
      <c r="N33" s="14"/>
      <c r="O33" s="14"/>
      <c r="P33" s="14"/>
    </row>
    <row r="34" spans="1:16" x14ac:dyDescent="0.2">
      <c r="A34" s="32">
        <v>100</v>
      </c>
      <c r="B34" s="39">
        <v>0.59349593495935005</v>
      </c>
      <c r="C34" s="8" t="s">
        <v>26</v>
      </c>
      <c r="D34" s="39">
        <f>19/73</f>
        <v>0.26027397260273971</v>
      </c>
      <c r="E34" s="11" t="s">
        <v>24</v>
      </c>
      <c r="F34" s="40">
        <f>6/19</f>
        <v>0.31578947368421051</v>
      </c>
      <c r="G34" s="13">
        <f t="shared" si="0"/>
        <v>4.8780487804878085E-2</v>
      </c>
      <c r="H34" s="13">
        <f t="shared" si="6"/>
        <v>0.42857142857142899</v>
      </c>
      <c r="I34" s="33"/>
      <c r="J34" s="14"/>
      <c r="K34" s="14"/>
      <c r="L34" s="34"/>
      <c r="M34" s="14"/>
      <c r="N34" s="14"/>
      <c r="O34" s="14"/>
      <c r="P34" s="14"/>
    </row>
    <row r="35" spans="1:16" x14ac:dyDescent="0.2">
      <c r="A35" s="32">
        <v>100</v>
      </c>
      <c r="B35" s="39">
        <v>0.59349593495935005</v>
      </c>
      <c r="C35" s="8" t="s">
        <v>28</v>
      </c>
      <c r="D35" s="39">
        <f>9/73</f>
        <v>0.12328767123287671</v>
      </c>
      <c r="E35" s="11" t="s">
        <v>19</v>
      </c>
      <c r="F35" s="40">
        <v>0</v>
      </c>
      <c r="G35" s="13">
        <f t="shared" si="0"/>
        <v>0</v>
      </c>
      <c r="H35" s="13">
        <v>0</v>
      </c>
      <c r="I35" s="14"/>
      <c r="J35" s="14"/>
      <c r="K35" s="14"/>
      <c r="L35" s="34"/>
      <c r="M35" s="14"/>
      <c r="N35" s="14"/>
      <c r="O35" s="14"/>
      <c r="P35" s="14"/>
    </row>
    <row r="36" spans="1:16" x14ac:dyDescent="0.2">
      <c r="A36" s="32">
        <v>100</v>
      </c>
      <c r="B36" s="39">
        <v>0.59349593495935005</v>
      </c>
      <c r="C36" s="8" t="s">
        <v>28</v>
      </c>
      <c r="D36" s="39">
        <v>0.12328767123287671</v>
      </c>
      <c r="E36" s="11" t="s">
        <v>23</v>
      </c>
      <c r="F36" s="40">
        <v>0.22222222222222221</v>
      </c>
      <c r="G36" s="13">
        <f t="shared" si="0"/>
        <v>1.6260162601626028E-2</v>
      </c>
      <c r="H36" s="13">
        <f>G36/(G36+G27+G18+G9)</f>
        <v>0.18181818181818205</v>
      </c>
      <c r="I36" s="14"/>
      <c r="J36" s="14"/>
      <c r="K36" s="14"/>
      <c r="L36" s="34"/>
      <c r="M36" s="14"/>
      <c r="N36" s="14"/>
      <c r="O36" s="14"/>
      <c r="P36" s="14"/>
    </row>
    <row r="37" spans="1:16" x14ac:dyDescent="0.2">
      <c r="A37" s="32">
        <v>100</v>
      </c>
      <c r="B37" s="39">
        <v>0.59349593495935005</v>
      </c>
      <c r="C37" s="8" t="s">
        <v>28</v>
      </c>
      <c r="D37" s="39">
        <v>0.12328767123287671</v>
      </c>
      <c r="E37" s="11" t="s">
        <v>24</v>
      </c>
      <c r="F37" s="40">
        <v>0.77777777777777779</v>
      </c>
      <c r="G37" s="13">
        <f t="shared" si="0"/>
        <v>5.6910569105691096E-2</v>
      </c>
      <c r="H37" s="13">
        <f>G37/(G37+G28+G19+G10)</f>
        <v>0.38888888888888923</v>
      </c>
      <c r="I37" s="14"/>
      <c r="J37" s="14"/>
      <c r="K37" s="14"/>
      <c r="L37" s="14"/>
      <c r="M37" s="14"/>
      <c r="N37" s="14"/>
      <c r="O37" s="14"/>
      <c r="P37" s="14"/>
    </row>
    <row r="38" spans="1:16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Input Data_4x3x3matrix_oil_gas</vt:lpstr>
      <vt:lpstr>Probability Tree 4x3x3 matrix</vt:lpstr>
      <vt:lpstr>BS</vt:lpstr>
      <vt:lpstr>Probability tree BS</vt:lpstr>
      <vt:lpstr>NNS</vt:lpstr>
      <vt:lpstr>Probability tree NNS</vt:lpstr>
      <vt:lpstr>NS</vt:lpstr>
      <vt:lpstr>Probability tree NS</vt:lpstr>
    </vt:vector>
  </TitlesOfParts>
  <Company>UiB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Edmundson</dc:creator>
  <cp:lastModifiedBy>Isabel Edmundson</cp:lastModifiedBy>
  <dcterms:created xsi:type="dcterms:W3CDTF">2019-09-20T13:38:20Z</dcterms:created>
  <dcterms:modified xsi:type="dcterms:W3CDTF">2020-05-13T20:22:55Z</dcterms:modified>
</cp:coreProperties>
</file>